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ЭтаКнига" defaultThemeVersion="124226"/>
  <mc:AlternateContent xmlns:mc="http://schemas.openxmlformats.org/markup-compatibility/2006">
    <mc:Choice Requires="x15">
      <x15ac:absPath xmlns:x15ac="http://schemas.microsoft.com/office/spreadsheetml/2010/11/ac" url="C:\Users\econom5\Desktop\"/>
    </mc:Choice>
  </mc:AlternateContent>
  <bookViews>
    <workbookView xWindow="120" yWindow="120" windowWidth="9720" windowHeight="7320" tabRatio="942"/>
  </bookViews>
  <sheets>
    <sheet name="Раздел 1" sheetId="74" r:id="rId1"/>
    <sheet name="Раздел 2" sheetId="95" r:id="rId2"/>
    <sheet name="ОСТАТКИ МЗ" sheetId="100" r:id="rId3"/>
    <sheet name="ОСТАТКИ ВБ" sheetId="109" r:id="rId4"/>
    <sheet name="ВБ" sheetId="96" r:id="rId5"/>
    <sheet name="4 (2025)" sheetId="84" r:id="rId6"/>
    <sheet name="5 (2025) ШСК+С" sheetId="113" r:id="rId7"/>
    <sheet name="5 (2025) пит." sheetId="110" r:id="rId8"/>
    <sheet name="5 (ТБ)" sheetId="116" r:id="rId9"/>
    <sheet name="5 (2025)" sheetId="106" r:id="rId10"/>
    <sheet name="4 (2026)" sheetId="102" r:id="rId11"/>
    <sheet name="5(2026) ШСК+С" sheetId="114" r:id="rId12"/>
    <sheet name="5 (2026) пит." sheetId="111" r:id="rId13"/>
    <sheet name="5 (2026)" sheetId="107" r:id="rId14"/>
    <sheet name="4 (2027)" sheetId="103" r:id="rId15"/>
    <sheet name="5(2027) ШСК+С" sheetId="115" r:id="rId16"/>
    <sheet name="5 (2027) пит." sheetId="112" r:id="rId17"/>
    <sheet name="5 (2027)" sheetId="108" r:id="rId18"/>
    <sheet name="РАСЧЕТ ВБ" sheetId="104" r:id="rId19"/>
  </sheets>
  <externalReferences>
    <externalReference r:id="rId20"/>
    <externalReference r:id="rId21"/>
  </externalReferences>
  <definedNames>
    <definedName name="_xlnm.Print_Titles" localSheetId="5">'4 (2025)'!$8:$11</definedName>
    <definedName name="_xlnm.Print_Titles" localSheetId="2">'ОСТАТКИ МЗ'!$1:$11</definedName>
    <definedName name="_xlnm.Print_Titles" localSheetId="1">'Раздел 2'!$4:$8</definedName>
    <definedName name="_xlnm.Print_Area" localSheetId="10">'4 (2026)'!$A$1:$T$73</definedName>
    <definedName name="_xlnm.Print_Area" localSheetId="14">'4 (2027)'!$A$1:$T$74</definedName>
    <definedName name="_xlnm.Print_Area" localSheetId="7">'5 (2025) пит.'!$A$1:$O$73</definedName>
    <definedName name="_xlnm.Print_Area" localSheetId="12">'5 (2026) пит.'!$A$1:$O$73</definedName>
    <definedName name="_xlnm.Print_Area" localSheetId="16">'5 (2027) пит.'!$A$1:$O$73</definedName>
    <definedName name="_xlnm.Print_Area" localSheetId="3">'ОСТАТКИ ВБ'!$A$1:$L$68</definedName>
    <definedName name="_xlnm.Print_Area" localSheetId="0">'Раздел 1'!$A$1:$CU$161</definedName>
  </definedNames>
  <calcPr calcId="162913"/>
</workbook>
</file>

<file path=xl/calcChain.xml><?xml version="1.0" encoding="utf-8"?>
<calcChain xmlns="http://schemas.openxmlformats.org/spreadsheetml/2006/main">
  <c r="DL30" i="95" l="1"/>
  <c r="CF53" i="95"/>
  <c r="CF34" i="95"/>
  <c r="CF22" i="95"/>
  <c r="CF24" i="95"/>
  <c r="CF25" i="95"/>
  <c r="L16" i="113" l="1"/>
  <c r="CD141" i="74"/>
  <c r="BU141" i="74"/>
  <c r="L15" i="115"/>
  <c r="L15" i="114"/>
  <c r="CD111" i="74"/>
  <c r="F16" i="113"/>
  <c r="F15" i="113"/>
  <c r="CV34" i="95" l="1"/>
  <c r="F76" i="103"/>
  <c r="F75" i="103"/>
  <c r="CF39" i="95"/>
  <c r="F75" i="84"/>
  <c r="F76" i="84"/>
  <c r="CD144" i="74"/>
  <c r="BU144" i="74"/>
  <c r="CD135" i="74"/>
  <c r="BU135" i="74"/>
  <c r="BL135" i="74"/>
  <c r="BL144" i="74"/>
  <c r="K22" i="108" l="1"/>
  <c r="R19" i="108" l="1"/>
  <c r="Q19" i="107"/>
  <c r="V19" i="106"/>
  <c r="J22" i="108" l="1"/>
  <c r="G36" i="108" l="1"/>
  <c r="G36" i="107"/>
  <c r="G32" i="106"/>
  <c r="G37" i="106"/>
  <c r="N31" i="107" l="1"/>
  <c r="I36" i="108" l="1"/>
  <c r="H17" i="107"/>
  <c r="H16" i="107"/>
  <c r="I32" i="106"/>
  <c r="H17" i="106"/>
  <c r="H16" i="106"/>
  <c r="G70" i="103" l="1"/>
  <c r="G63" i="103"/>
  <c r="G62" i="103"/>
  <c r="G61" i="103"/>
  <c r="G60" i="103"/>
  <c r="G59" i="103" s="1"/>
  <c r="G51" i="103"/>
  <c r="G50" i="103"/>
  <c r="G48" i="103" s="1"/>
  <c r="G46" i="103"/>
  <c r="G39" i="103"/>
  <c r="G38" i="103"/>
  <c r="G37" i="103"/>
  <c r="G36" i="103" s="1"/>
  <c r="G34" i="103"/>
  <c r="G29" i="103"/>
  <c r="G24" i="103"/>
  <c r="G18" i="103"/>
  <c r="G17" i="103"/>
  <c r="G14" i="103"/>
  <c r="G73" i="102"/>
  <c r="G72" i="102"/>
  <c r="G71" i="102"/>
  <c r="G70" i="102"/>
  <c r="G64" i="102" s="1"/>
  <c r="G69" i="102"/>
  <c r="G65" i="102"/>
  <c r="G63" i="102"/>
  <c r="G62" i="102"/>
  <c r="G61" i="102"/>
  <c r="G60" i="102"/>
  <c r="G59" i="102"/>
  <c r="G56" i="102"/>
  <c r="G53" i="102"/>
  <c r="G52" i="102"/>
  <c r="G51" i="102" s="1"/>
  <c r="G50" i="102"/>
  <c r="G48" i="102"/>
  <c r="G46" i="102"/>
  <c r="G45" i="102"/>
  <c r="G44" i="102"/>
  <c r="G42" i="102"/>
  <c r="G41" i="102"/>
  <c r="G39" i="102"/>
  <c r="G38" i="102"/>
  <c r="G37" i="102"/>
  <c r="G36" i="102"/>
  <c r="G35" i="102"/>
  <c r="G34" i="102"/>
  <c r="G33" i="102"/>
  <c r="G32" i="102"/>
  <c r="G29" i="102" s="1"/>
  <c r="G31" i="102"/>
  <c r="G30" i="102"/>
  <c r="G28" i="102"/>
  <c r="G27" i="102"/>
  <c r="G26" i="102"/>
  <c r="G25" i="102"/>
  <c r="G24" i="102"/>
  <c r="G20" i="102" s="1"/>
  <c r="G23" i="102"/>
  <c r="G21" i="102"/>
  <c r="G18" i="102"/>
  <c r="G17" i="102"/>
  <c r="G16" i="102"/>
  <c r="G15" i="102"/>
  <c r="G14" i="102"/>
  <c r="G20" i="103" l="1"/>
  <c r="G64" i="103"/>
  <c r="G58" i="103" s="1"/>
  <c r="G58" i="102"/>
  <c r="G13" i="102" s="1"/>
  <c r="H70" i="103"/>
  <c r="H64" i="103"/>
  <c r="H63" i="103"/>
  <c r="H61" i="103"/>
  <c r="H59" i="103" s="1"/>
  <c r="H58" i="103" s="1"/>
  <c r="H60" i="103"/>
  <c r="H51" i="103"/>
  <c r="H48" i="103"/>
  <c r="H46" i="103"/>
  <c r="H45" i="103"/>
  <c r="H36" i="103"/>
  <c r="H20" i="103" s="1"/>
  <c r="H29" i="103"/>
  <c r="H24" i="103"/>
  <c r="H18" i="103"/>
  <c r="H14" i="103" s="1"/>
  <c r="H16" i="103"/>
  <c r="H15" i="103"/>
  <c r="H16" i="102"/>
  <c r="H14" i="102" s="1"/>
  <c r="H15" i="102"/>
  <c r="H49" i="84"/>
  <c r="H15" i="84"/>
  <c r="H70" i="102"/>
  <c r="H64" i="102" s="1"/>
  <c r="H63" i="102"/>
  <c r="H61" i="102"/>
  <c r="H60" i="102"/>
  <c r="H59" i="102"/>
  <c r="H51" i="102"/>
  <c r="H48" i="102"/>
  <c r="H46" i="102"/>
  <c r="H45" i="102"/>
  <c r="H36" i="102"/>
  <c r="H29" i="102"/>
  <c r="H24" i="102"/>
  <c r="H20" i="102" s="1"/>
  <c r="H18" i="102"/>
  <c r="H63" i="84"/>
  <c r="H62" i="84"/>
  <c r="H60" i="84"/>
  <c r="H72" i="84"/>
  <c r="H45" i="84"/>
  <c r="H16" i="84"/>
  <c r="G13" i="103" l="1"/>
  <c r="H13" i="103"/>
  <c r="H58" i="102"/>
  <c r="H13" i="102" s="1"/>
  <c r="G63" i="84"/>
  <c r="G62" i="84"/>
  <c r="G61" i="84"/>
  <c r="G56" i="84"/>
  <c r="G53" i="84"/>
  <c r="G52" i="84"/>
  <c r="G73" i="84"/>
  <c r="G72" i="84"/>
  <c r="G69" i="84"/>
  <c r="G71" i="84"/>
  <c r="G65" i="84"/>
  <c r="G45" i="84"/>
  <c r="G44" i="84"/>
  <c r="G42" i="84"/>
  <c r="G41" i="84"/>
  <c r="G35" i="84"/>
  <c r="G33" i="84"/>
  <c r="G32" i="84"/>
  <c r="G31" i="84"/>
  <c r="G30" i="84"/>
  <c r="G23" i="84"/>
  <c r="G21" i="84"/>
  <c r="G28" i="84"/>
  <c r="G27" i="84"/>
  <c r="G26" i="84"/>
  <c r="G25" i="84"/>
  <c r="G17" i="84"/>
  <c r="G50" i="84"/>
  <c r="K26" i="106" l="1"/>
  <c r="K25" i="106" s="1"/>
  <c r="J26" i="106"/>
  <c r="K35" i="106"/>
  <c r="K33" i="106" s="1"/>
  <c r="J35" i="106"/>
  <c r="J33" i="106"/>
  <c r="K28" i="106"/>
  <c r="J28" i="106"/>
  <c r="J27" i="106" s="1"/>
  <c r="J25" i="106"/>
  <c r="K21" i="106"/>
  <c r="J21" i="106"/>
  <c r="K18" i="106"/>
  <c r="J18" i="106"/>
  <c r="K15" i="106"/>
  <c r="J15" i="106"/>
  <c r="K27" i="106" l="1"/>
  <c r="J14" i="106"/>
  <c r="K14" i="106"/>
  <c r="K65" i="112"/>
  <c r="I65" i="112"/>
  <c r="M65" i="111"/>
  <c r="L65" i="111"/>
  <c r="K65" i="111"/>
  <c r="I65" i="111"/>
  <c r="M65" i="110"/>
  <c r="L65" i="110"/>
  <c r="K65" i="110"/>
  <c r="I65" i="110"/>
  <c r="H65" i="112" l="1"/>
  <c r="G65" i="112"/>
  <c r="H65" i="111"/>
  <c r="G65" i="111"/>
  <c r="H65" i="110"/>
  <c r="G65" i="110"/>
  <c r="O66" i="103" l="1"/>
  <c r="O66" i="102"/>
  <c r="O66" i="84"/>
  <c r="O65" i="112"/>
  <c r="O65" i="111"/>
  <c r="O65" i="110"/>
  <c r="N65" i="110"/>
  <c r="R16" i="103"/>
  <c r="R15" i="103"/>
  <c r="R16" i="102"/>
  <c r="R15" i="102"/>
  <c r="R16" i="84"/>
  <c r="R15" i="84"/>
  <c r="T66" i="103" l="1"/>
  <c r="S66" i="103"/>
  <c r="T66" i="102"/>
  <c r="S66" i="102"/>
  <c r="T66" i="84"/>
  <c r="S66" i="84"/>
  <c r="K16" i="115" l="1"/>
  <c r="K15" i="115"/>
  <c r="K14" i="115" s="1"/>
  <c r="K13" i="115" s="1"/>
  <c r="K16" i="114"/>
  <c r="K15" i="114"/>
  <c r="K14" i="114"/>
  <c r="K13" i="114"/>
  <c r="K16" i="113"/>
  <c r="K15" i="113"/>
  <c r="J16" i="103"/>
  <c r="I16" i="103"/>
  <c r="J15" i="103"/>
  <c r="J14" i="103" s="1"/>
  <c r="J13" i="103" s="1"/>
  <c r="I15" i="103"/>
  <c r="I14" i="103" s="1"/>
  <c r="I13" i="103" s="1"/>
  <c r="J16" i="102"/>
  <c r="I16" i="102"/>
  <c r="J15" i="102"/>
  <c r="J14" i="102" s="1"/>
  <c r="J13" i="102" s="1"/>
  <c r="I15" i="102"/>
  <c r="I14" i="102" s="1"/>
  <c r="I13" i="102" s="1"/>
  <c r="J16" i="84"/>
  <c r="J15" i="84"/>
  <c r="I16" i="84"/>
  <c r="I15" i="84"/>
  <c r="L16" i="115"/>
  <c r="F16" i="115" s="1"/>
  <c r="L14" i="115"/>
  <c r="L16" i="114"/>
  <c r="L14" i="114"/>
  <c r="L15" i="113"/>
  <c r="L14" i="113"/>
  <c r="L13" i="113"/>
  <c r="G16" i="84"/>
  <c r="G15" i="84"/>
  <c r="N69" i="115"/>
  <c r="N63" i="115" s="1"/>
  <c r="M69" i="115"/>
  <c r="M63" i="115"/>
  <c r="N58" i="115"/>
  <c r="N57" i="115" s="1"/>
  <c r="M58" i="115"/>
  <c r="M57" i="115"/>
  <c r="N49" i="115"/>
  <c r="M49" i="115"/>
  <c r="N45" i="115"/>
  <c r="M45" i="115"/>
  <c r="N43" i="115"/>
  <c r="M43" i="115"/>
  <c r="N34" i="115"/>
  <c r="M34" i="115"/>
  <c r="N27" i="115"/>
  <c r="M27" i="115"/>
  <c r="N23" i="115"/>
  <c r="M23" i="115"/>
  <c r="M20" i="115" s="1"/>
  <c r="N20" i="115"/>
  <c r="N18" i="115"/>
  <c r="M18" i="115"/>
  <c r="N16" i="115"/>
  <c r="M16" i="115"/>
  <c r="N15" i="115"/>
  <c r="M15" i="115"/>
  <c r="M14" i="115" s="1"/>
  <c r="N14" i="115"/>
  <c r="N13" i="115" s="1"/>
  <c r="F16" i="114"/>
  <c r="F15" i="114"/>
  <c r="N69" i="114"/>
  <c r="M69" i="114"/>
  <c r="N63" i="114"/>
  <c r="M63" i="114"/>
  <c r="M57" i="114" s="1"/>
  <c r="N58" i="114"/>
  <c r="M58" i="114"/>
  <c r="N57" i="114"/>
  <c r="N49" i="114"/>
  <c r="M49" i="114"/>
  <c r="N45" i="114"/>
  <c r="M45" i="114"/>
  <c r="N43" i="114"/>
  <c r="M43" i="114"/>
  <c r="N34" i="114"/>
  <c r="M34" i="114"/>
  <c r="N27" i="114"/>
  <c r="M27" i="114"/>
  <c r="N23" i="114"/>
  <c r="N20" i="114" s="1"/>
  <c r="M23" i="114"/>
  <c r="M20" i="114" s="1"/>
  <c r="N18" i="114"/>
  <c r="M18" i="114"/>
  <c r="N16" i="114"/>
  <c r="M16" i="114"/>
  <c r="N15" i="114"/>
  <c r="M15" i="114"/>
  <c r="M14" i="114" s="1"/>
  <c r="N14" i="114"/>
  <c r="N16" i="113"/>
  <c r="N15" i="113"/>
  <c r="M16" i="113"/>
  <c r="M15" i="113"/>
  <c r="L13" i="115" l="1"/>
  <c r="F13" i="115" s="1"/>
  <c r="F14" i="115"/>
  <c r="F15" i="115"/>
  <c r="F14" i="114"/>
  <c r="L13" i="114"/>
  <c r="F13" i="114" s="1"/>
  <c r="M13" i="115"/>
  <c r="N13" i="114"/>
  <c r="M13" i="114"/>
  <c r="G29" i="106" l="1"/>
  <c r="H61" i="84" l="1"/>
  <c r="F55" i="84" l="1"/>
  <c r="N69" i="113" l="1"/>
  <c r="N63" i="113" s="1"/>
  <c r="M69" i="113"/>
  <c r="M63" i="113"/>
  <c r="M57" i="113" s="1"/>
  <c r="N58" i="113"/>
  <c r="N57" i="113" s="1"/>
  <c r="M58" i="113"/>
  <c r="N49" i="113"/>
  <c r="M49" i="113"/>
  <c r="N45" i="113"/>
  <c r="M45" i="113"/>
  <c r="N43" i="113"/>
  <c r="M43" i="113"/>
  <c r="N34" i="113"/>
  <c r="M34" i="113"/>
  <c r="N27" i="113"/>
  <c r="M27" i="113"/>
  <c r="N23" i="113"/>
  <c r="M23" i="113"/>
  <c r="M20" i="113" s="1"/>
  <c r="N20" i="113"/>
  <c r="N18" i="113"/>
  <c r="M18" i="113"/>
  <c r="M14" i="113"/>
  <c r="M13" i="113" s="1"/>
  <c r="N14" i="113"/>
  <c r="N13" i="113" s="1"/>
  <c r="C88" i="95" l="1"/>
  <c r="BU111" i="74" l="1"/>
  <c r="F28" i="103" l="1"/>
  <c r="G60" i="84"/>
  <c r="F27" i="103"/>
  <c r="F28" i="102"/>
  <c r="F27" i="102"/>
  <c r="F22" i="103" l="1"/>
  <c r="F22" i="102"/>
  <c r="F22" i="84"/>
  <c r="H17" i="108" l="1"/>
  <c r="H16" i="108"/>
  <c r="F65" i="112" l="1"/>
  <c r="M69" i="112"/>
  <c r="L69" i="112"/>
  <c r="M63" i="112"/>
  <c r="M57" i="112" s="1"/>
  <c r="L63" i="112"/>
  <c r="L57" i="112" s="1"/>
  <c r="M58" i="112"/>
  <c r="L58" i="112"/>
  <c r="M49" i="112"/>
  <c r="L49" i="112"/>
  <c r="M45" i="112"/>
  <c r="L45" i="112"/>
  <c r="M43" i="112"/>
  <c r="L43" i="112"/>
  <c r="M34" i="112"/>
  <c r="L34" i="112"/>
  <c r="M27" i="112"/>
  <c r="L27" i="112"/>
  <c r="M23" i="112"/>
  <c r="M20" i="112" s="1"/>
  <c r="L23" i="112"/>
  <c r="L20" i="112" s="1"/>
  <c r="M18" i="112"/>
  <c r="M14" i="112" s="1"/>
  <c r="L18" i="112"/>
  <c r="L14" i="112" s="1"/>
  <c r="M69" i="111"/>
  <c r="L69" i="111"/>
  <c r="M63" i="111"/>
  <c r="L63" i="111"/>
  <c r="M58" i="111"/>
  <c r="L58" i="111"/>
  <c r="M49" i="111"/>
  <c r="L49" i="111"/>
  <c r="M45" i="111"/>
  <c r="L45" i="111"/>
  <c r="M43" i="111"/>
  <c r="L43" i="111"/>
  <c r="M34" i="111"/>
  <c r="L34" i="111"/>
  <c r="M27" i="111"/>
  <c r="L27" i="111"/>
  <c r="M23" i="111"/>
  <c r="L23" i="111"/>
  <c r="M20" i="111"/>
  <c r="L20" i="111"/>
  <c r="M18" i="111"/>
  <c r="L18" i="111"/>
  <c r="M14" i="111"/>
  <c r="L14" i="111"/>
  <c r="M13" i="112" l="1"/>
  <c r="L13" i="112"/>
  <c r="L57" i="111"/>
  <c r="L13" i="111" s="1"/>
  <c r="M57" i="111"/>
  <c r="M13" i="111" s="1"/>
  <c r="I34" i="108" l="1"/>
  <c r="I32" i="108" s="1"/>
  <c r="H36" i="108"/>
  <c r="I27" i="108"/>
  <c r="I24" i="108"/>
  <c r="I20" i="108"/>
  <c r="I18" i="108"/>
  <c r="I15" i="108"/>
  <c r="I26" i="108" l="1"/>
  <c r="I14" i="108"/>
  <c r="V18" i="106" l="1"/>
  <c r="E20" i="106"/>
  <c r="E23" i="106" l="1"/>
  <c r="F72" i="116" l="1"/>
  <c r="F70" i="116"/>
  <c r="L69" i="116"/>
  <c r="K69" i="116"/>
  <c r="K63" i="116" s="1"/>
  <c r="K57" i="116" s="1"/>
  <c r="J69" i="116"/>
  <c r="J63" i="116" s="1"/>
  <c r="I69" i="116"/>
  <c r="H69" i="116"/>
  <c r="G69" i="116"/>
  <c r="G63" i="116" s="1"/>
  <c r="G57" i="116" s="1"/>
  <c r="F68" i="116"/>
  <c r="F67" i="116"/>
  <c r="F66" i="116"/>
  <c r="F65" i="116"/>
  <c r="F64" i="116"/>
  <c r="L63" i="116"/>
  <c r="I63" i="116"/>
  <c r="H63" i="116"/>
  <c r="F62" i="116"/>
  <c r="F61" i="116"/>
  <c r="F60" i="116"/>
  <c r="F59" i="116"/>
  <c r="L58" i="116"/>
  <c r="L57" i="116" s="1"/>
  <c r="K58" i="116"/>
  <c r="J58" i="116"/>
  <c r="I58" i="116"/>
  <c r="I57" i="116" s="1"/>
  <c r="H58" i="116"/>
  <c r="G58" i="116"/>
  <c r="F56" i="116"/>
  <c r="F55" i="116"/>
  <c r="F54" i="116"/>
  <c r="F53" i="116"/>
  <c r="F52" i="116"/>
  <c r="F51" i="116"/>
  <c r="L50" i="116"/>
  <c r="K50" i="116"/>
  <c r="J50" i="116"/>
  <c r="I50" i="116"/>
  <c r="H50" i="116"/>
  <c r="G50" i="116"/>
  <c r="F49" i="116"/>
  <c r="F48" i="116"/>
  <c r="L47" i="116"/>
  <c r="K47" i="116"/>
  <c r="J47" i="116"/>
  <c r="I47" i="116"/>
  <c r="H47" i="116"/>
  <c r="G47" i="116"/>
  <c r="F46" i="116"/>
  <c r="F45" i="116" s="1"/>
  <c r="L45" i="116"/>
  <c r="K45" i="116"/>
  <c r="J45" i="116"/>
  <c r="I45" i="116"/>
  <c r="H45" i="116"/>
  <c r="G45" i="116"/>
  <c r="F44" i="116"/>
  <c r="F43" i="116"/>
  <c r="F42" i="116"/>
  <c r="F41" i="116"/>
  <c r="F40" i="116"/>
  <c r="F39" i="116"/>
  <c r="F38" i="116"/>
  <c r="F37" i="116"/>
  <c r="F36" i="116"/>
  <c r="L35" i="116"/>
  <c r="K35" i="116"/>
  <c r="J35" i="116"/>
  <c r="I35" i="116"/>
  <c r="H35" i="116"/>
  <c r="G35" i="116"/>
  <c r="F34" i="116"/>
  <c r="F33" i="116"/>
  <c r="F32" i="116"/>
  <c r="F31" i="116"/>
  <c r="F30" i="116"/>
  <c r="F29" i="116"/>
  <c r="L28" i="116"/>
  <c r="K28" i="116"/>
  <c r="J28" i="116"/>
  <c r="I28" i="116"/>
  <c r="H28" i="116"/>
  <c r="G28" i="116"/>
  <c r="F27" i="116"/>
  <c r="F26" i="116"/>
  <c r="F25" i="116"/>
  <c r="F24" i="116"/>
  <c r="L23" i="116"/>
  <c r="K23" i="116"/>
  <c r="J23" i="116"/>
  <c r="J20" i="116" s="1"/>
  <c r="I23" i="116"/>
  <c r="H23" i="116"/>
  <c r="G23" i="116"/>
  <c r="F22" i="116"/>
  <c r="F21" i="116"/>
  <c r="F19" i="116"/>
  <c r="L18" i="116"/>
  <c r="K18" i="116"/>
  <c r="K14" i="116" s="1"/>
  <c r="J18" i="116"/>
  <c r="I18" i="116"/>
  <c r="I14" i="116" s="1"/>
  <c r="H18" i="116"/>
  <c r="G18" i="116"/>
  <c r="F17" i="116"/>
  <c r="F16" i="116"/>
  <c r="F15" i="116"/>
  <c r="L14" i="116"/>
  <c r="J14" i="116"/>
  <c r="F47" i="116" l="1"/>
  <c r="F18" i="116"/>
  <c r="F28" i="116"/>
  <c r="I20" i="116"/>
  <c r="I13" i="116" s="1"/>
  <c r="G14" i="116"/>
  <c r="F58" i="116"/>
  <c r="J57" i="116"/>
  <c r="H57" i="116"/>
  <c r="K20" i="116"/>
  <c r="K13" i="116" s="1"/>
  <c r="H20" i="116"/>
  <c r="L20" i="116"/>
  <c r="L13" i="116" s="1"/>
  <c r="F50" i="116"/>
  <c r="G20" i="116"/>
  <c r="H14" i="116"/>
  <c r="J13" i="116"/>
  <c r="F23" i="116"/>
  <c r="F35" i="116"/>
  <c r="F71" i="116"/>
  <c r="F69" i="116" s="1"/>
  <c r="F63" i="116" s="1"/>
  <c r="F57" i="116" s="1"/>
  <c r="F20" i="116" l="1"/>
  <c r="G13" i="116"/>
  <c r="H13" i="116"/>
  <c r="F73" i="116"/>
  <c r="F14" i="116"/>
  <c r="F13" i="116" s="1"/>
  <c r="F26" i="100"/>
  <c r="G24" i="84"/>
  <c r="F27" i="84"/>
  <c r="F65" i="110" l="1"/>
  <c r="M69" i="110"/>
  <c r="L69" i="110"/>
  <c r="M63" i="110"/>
  <c r="M57" i="110" s="1"/>
  <c r="L63" i="110"/>
  <c r="L57" i="110" s="1"/>
  <c r="M58" i="110"/>
  <c r="L58" i="110"/>
  <c r="M49" i="110"/>
  <c r="L49" i="110"/>
  <c r="M45" i="110"/>
  <c r="L45" i="110"/>
  <c r="M43" i="110"/>
  <c r="L43" i="110"/>
  <c r="M34" i="110"/>
  <c r="L34" i="110"/>
  <c r="M27" i="110"/>
  <c r="L27" i="110"/>
  <c r="M23" i="110"/>
  <c r="M20" i="110" s="1"/>
  <c r="L23" i="110"/>
  <c r="L20" i="110" s="1"/>
  <c r="M18" i="110"/>
  <c r="M14" i="110" s="1"/>
  <c r="L18" i="110"/>
  <c r="L14" i="110" s="1"/>
  <c r="L13" i="110" l="1"/>
  <c r="M13" i="110"/>
  <c r="L21" i="106"/>
  <c r="M35" i="106"/>
  <c r="M33" i="106" s="1"/>
  <c r="M27" i="106" s="1"/>
  <c r="L35" i="106"/>
  <c r="L33" i="106" s="1"/>
  <c r="M28" i="106"/>
  <c r="L28" i="106"/>
  <c r="M25" i="106"/>
  <c r="L25" i="106"/>
  <c r="M21" i="106"/>
  <c r="M18" i="106"/>
  <c r="L18" i="106"/>
  <c r="L15" i="106"/>
  <c r="M15" i="106"/>
  <c r="M14" i="106" l="1"/>
  <c r="L27" i="106"/>
  <c r="L14" i="106" s="1"/>
  <c r="E17" i="108" l="1"/>
  <c r="E16" i="108"/>
  <c r="R15" i="108"/>
  <c r="Q15" i="108"/>
  <c r="P15" i="108"/>
  <c r="O15" i="108"/>
  <c r="N15" i="108"/>
  <c r="M15" i="108"/>
  <c r="L15" i="108"/>
  <c r="K15" i="108"/>
  <c r="J15" i="108"/>
  <c r="H15" i="108"/>
  <c r="G15" i="108"/>
  <c r="F15" i="108"/>
  <c r="E17" i="107"/>
  <c r="Q15" i="107"/>
  <c r="P15" i="107"/>
  <c r="O15" i="107"/>
  <c r="N15" i="107"/>
  <c r="M15" i="107"/>
  <c r="L15" i="107"/>
  <c r="K15" i="107"/>
  <c r="J15" i="107"/>
  <c r="I15" i="107"/>
  <c r="G15" i="107"/>
  <c r="F15" i="107"/>
  <c r="E16" i="107"/>
  <c r="E15" i="108" l="1"/>
  <c r="H15" i="107"/>
  <c r="E15" i="107"/>
  <c r="F72" i="115" l="1"/>
  <c r="F71" i="115"/>
  <c r="F70" i="115"/>
  <c r="L69" i="115"/>
  <c r="L63" i="115" s="1"/>
  <c r="L57" i="115" s="1"/>
  <c r="K69" i="115"/>
  <c r="J69" i="115"/>
  <c r="I69" i="115"/>
  <c r="I63" i="115" s="1"/>
  <c r="I57" i="115" s="1"/>
  <c r="H69" i="115"/>
  <c r="H63" i="115" s="1"/>
  <c r="H57" i="115" s="1"/>
  <c r="G69" i="115"/>
  <c r="F68" i="115"/>
  <c r="F67" i="115"/>
  <c r="F66" i="115"/>
  <c r="F65" i="115"/>
  <c r="F64" i="115"/>
  <c r="K63" i="115"/>
  <c r="K57" i="115" s="1"/>
  <c r="J63" i="115"/>
  <c r="G63" i="115"/>
  <c r="G57" i="115" s="1"/>
  <c r="F62" i="115"/>
  <c r="F61" i="115"/>
  <c r="F60" i="115"/>
  <c r="F59" i="115"/>
  <c r="L58" i="115"/>
  <c r="K58" i="115"/>
  <c r="J58" i="115"/>
  <c r="J57" i="115" s="1"/>
  <c r="I58" i="115"/>
  <c r="H58" i="115"/>
  <c r="G58" i="115"/>
  <c r="F56" i="115"/>
  <c r="F55" i="115"/>
  <c r="F54" i="115"/>
  <c r="F53" i="115"/>
  <c r="F52" i="115"/>
  <c r="F51" i="115"/>
  <c r="F50" i="115"/>
  <c r="F49" i="115" s="1"/>
  <c r="L49" i="115"/>
  <c r="K49" i="115"/>
  <c r="J49" i="115"/>
  <c r="I49" i="115"/>
  <c r="H49" i="115"/>
  <c r="G49" i="115"/>
  <c r="F48" i="115"/>
  <c r="F47" i="115"/>
  <c r="F46" i="115"/>
  <c r="L45" i="115"/>
  <c r="K45" i="115"/>
  <c r="J45" i="115"/>
  <c r="I45" i="115"/>
  <c r="H45" i="115"/>
  <c r="G45" i="115"/>
  <c r="F44" i="115"/>
  <c r="F43" i="115" s="1"/>
  <c r="L43" i="115"/>
  <c r="K43" i="115"/>
  <c r="J43" i="115"/>
  <c r="I43" i="115"/>
  <c r="H43" i="115"/>
  <c r="G43" i="115"/>
  <c r="F42" i="115"/>
  <c r="F41" i="115"/>
  <c r="F40" i="115"/>
  <c r="F39" i="115"/>
  <c r="F38" i="115"/>
  <c r="F37" i="115"/>
  <c r="F36" i="115"/>
  <c r="F35" i="115"/>
  <c r="L34" i="115"/>
  <c r="K34" i="115"/>
  <c r="J34" i="115"/>
  <c r="I34" i="115"/>
  <c r="H34" i="115"/>
  <c r="G34" i="115"/>
  <c r="F33" i="115"/>
  <c r="F32" i="115"/>
  <c r="F31" i="115"/>
  <c r="F30" i="115"/>
  <c r="F29" i="115"/>
  <c r="F28" i="115"/>
  <c r="F27" i="115" s="1"/>
  <c r="L27" i="115"/>
  <c r="K27" i="115"/>
  <c r="J27" i="115"/>
  <c r="I27" i="115"/>
  <c r="H27" i="115"/>
  <c r="G27" i="115"/>
  <c r="F26" i="115"/>
  <c r="F25" i="115"/>
  <c r="F24" i="115"/>
  <c r="L23" i="115"/>
  <c r="K23" i="115"/>
  <c r="J23" i="115"/>
  <c r="I23" i="115"/>
  <c r="H23" i="115"/>
  <c r="G23" i="115"/>
  <c r="G20" i="115" s="1"/>
  <c r="F23" i="115"/>
  <c r="F22" i="115"/>
  <c r="F21" i="115"/>
  <c r="K20" i="115"/>
  <c r="I20" i="115"/>
  <c r="F19" i="115"/>
  <c r="L18" i="115"/>
  <c r="K18" i="115"/>
  <c r="J18" i="115"/>
  <c r="I18" i="115"/>
  <c r="I14" i="115" s="1"/>
  <c r="H18" i="115"/>
  <c r="H14" i="115" s="1"/>
  <c r="G18" i="115"/>
  <c r="G14" i="115" s="1"/>
  <c r="F17" i="115"/>
  <c r="J14" i="115"/>
  <c r="F72" i="114"/>
  <c r="F71" i="114"/>
  <c r="F70" i="114"/>
  <c r="L69" i="114"/>
  <c r="K69" i="114"/>
  <c r="K63" i="114" s="1"/>
  <c r="K57" i="114" s="1"/>
  <c r="J69" i="114"/>
  <c r="J63" i="114" s="1"/>
  <c r="I69" i="114"/>
  <c r="H69" i="114"/>
  <c r="G69" i="114"/>
  <c r="G63" i="114" s="1"/>
  <c r="G57" i="114" s="1"/>
  <c r="F68" i="114"/>
  <c r="F67" i="114"/>
  <c r="F66" i="114"/>
  <c r="F65" i="114"/>
  <c r="F64" i="114"/>
  <c r="L63" i="114"/>
  <c r="I63" i="114"/>
  <c r="I57" i="114" s="1"/>
  <c r="H63" i="114"/>
  <c r="F62" i="114"/>
  <c r="F61" i="114"/>
  <c r="F60" i="114"/>
  <c r="F59" i="114"/>
  <c r="L58" i="114"/>
  <c r="L57" i="114" s="1"/>
  <c r="K58" i="114"/>
  <c r="J58" i="114"/>
  <c r="I58" i="114"/>
  <c r="H58" i="114"/>
  <c r="G58" i="114"/>
  <c r="H57" i="114"/>
  <c r="F56" i="114"/>
  <c r="F55" i="114"/>
  <c r="F54" i="114"/>
  <c r="F53" i="114"/>
  <c r="F52" i="114"/>
  <c r="F51" i="114"/>
  <c r="F50" i="114"/>
  <c r="L49" i="114"/>
  <c r="K49" i="114"/>
  <c r="J49" i="114"/>
  <c r="I49" i="114"/>
  <c r="H49" i="114"/>
  <c r="G49" i="114"/>
  <c r="F48" i="114"/>
  <c r="F47" i="114"/>
  <c r="F46" i="114"/>
  <c r="L45" i="114"/>
  <c r="K45" i="114"/>
  <c r="J45" i="114"/>
  <c r="I45" i="114"/>
  <c r="H45" i="114"/>
  <c r="G45" i="114"/>
  <c r="F44" i="114"/>
  <c r="L43" i="114"/>
  <c r="K43" i="114"/>
  <c r="J43" i="114"/>
  <c r="I43" i="114"/>
  <c r="H43" i="114"/>
  <c r="G43" i="114"/>
  <c r="F43" i="114"/>
  <c r="F42" i="114"/>
  <c r="F41" i="114"/>
  <c r="F40" i="114"/>
  <c r="F39" i="114"/>
  <c r="F38" i="114"/>
  <c r="F37" i="114"/>
  <c r="F36" i="114"/>
  <c r="F35" i="114"/>
  <c r="L34" i="114"/>
  <c r="K34" i="114"/>
  <c r="J34" i="114"/>
  <c r="I34" i="114"/>
  <c r="H34" i="114"/>
  <c r="G34" i="114"/>
  <c r="F33" i="114"/>
  <c r="F32" i="114"/>
  <c r="F31" i="114"/>
  <c r="F30" i="114"/>
  <c r="F29" i="114"/>
  <c r="F28" i="114"/>
  <c r="L27" i="114"/>
  <c r="K27" i="114"/>
  <c r="J27" i="114"/>
  <c r="J20" i="114" s="1"/>
  <c r="I27" i="114"/>
  <c r="H27" i="114"/>
  <c r="G27" i="114"/>
  <c r="F26" i="114"/>
  <c r="F23" i="114" s="1"/>
  <c r="F25" i="114"/>
  <c r="F24" i="114"/>
  <c r="L23" i="114"/>
  <c r="K23" i="114"/>
  <c r="K20" i="114" s="1"/>
  <c r="J23" i="114"/>
  <c r="I23" i="114"/>
  <c r="H23" i="114"/>
  <c r="G23" i="114"/>
  <c r="G20" i="114" s="1"/>
  <c r="F22" i="114"/>
  <c r="F21" i="114"/>
  <c r="L20" i="114"/>
  <c r="H20" i="114"/>
  <c r="F19" i="114"/>
  <c r="L18" i="114"/>
  <c r="K18" i="114"/>
  <c r="J18" i="114"/>
  <c r="I18" i="114"/>
  <c r="H18" i="114"/>
  <c r="G18" i="114"/>
  <c r="F17" i="114"/>
  <c r="J14" i="114"/>
  <c r="I14" i="114"/>
  <c r="H14" i="114"/>
  <c r="I13" i="115" l="1"/>
  <c r="H20" i="115"/>
  <c r="H13" i="115" s="1"/>
  <c r="L20" i="115"/>
  <c r="J20" i="115"/>
  <c r="J13" i="115" s="1"/>
  <c r="F45" i="115"/>
  <c r="F69" i="115"/>
  <c r="F63" i="115" s="1"/>
  <c r="F34" i="114"/>
  <c r="H13" i="114"/>
  <c r="F49" i="114"/>
  <c r="F18" i="114"/>
  <c r="F69" i="114"/>
  <c r="I20" i="114"/>
  <c r="I13" i="114" s="1"/>
  <c r="F45" i="114"/>
  <c r="J57" i="114"/>
  <c r="J13" i="114" s="1"/>
  <c r="F63" i="114"/>
  <c r="F58" i="114"/>
  <c r="G13" i="115"/>
  <c r="F34" i="115"/>
  <c r="F20" i="115" s="1"/>
  <c r="F58" i="115"/>
  <c r="F18" i="115"/>
  <c r="G14" i="114"/>
  <c r="G13" i="114" s="1"/>
  <c r="F27" i="114"/>
  <c r="F20" i="114" s="1"/>
  <c r="F57" i="115" l="1"/>
  <c r="F73" i="115" s="1"/>
  <c r="F57" i="114"/>
  <c r="F73" i="114" s="1"/>
  <c r="F40" i="103" l="1"/>
  <c r="F40" i="102"/>
  <c r="G36" i="84" l="1"/>
  <c r="G39" i="84"/>
  <c r="G38" i="84"/>
  <c r="G37" i="84"/>
  <c r="G34" i="84"/>
  <c r="F45" i="84"/>
  <c r="F44" i="84"/>
  <c r="F40" i="84"/>
  <c r="L69" i="113" l="1"/>
  <c r="L63" i="113" s="1"/>
  <c r="L58" i="113"/>
  <c r="L49" i="113"/>
  <c r="L45" i="113"/>
  <c r="L43" i="113"/>
  <c r="L34" i="113"/>
  <c r="L27" i="113"/>
  <c r="L23" i="113"/>
  <c r="L18" i="113"/>
  <c r="L20" i="113" l="1"/>
  <c r="L57" i="113"/>
  <c r="F72" i="113" l="1"/>
  <c r="F71" i="113"/>
  <c r="F70" i="113"/>
  <c r="F69" i="113" s="1"/>
  <c r="K69" i="113"/>
  <c r="K63" i="113" s="1"/>
  <c r="J69" i="113"/>
  <c r="I69" i="113"/>
  <c r="H69" i="113"/>
  <c r="H63" i="113" s="1"/>
  <c r="G69" i="113"/>
  <c r="G63" i="113" s="1"/>
  <c r="F68" i="113"/>
  <c r="F67" i="113"/>
  <c r="F66" i="113"/>
  <c r="F65" i="113"/>
  <c r="F64" i="113"/>
  <c r="J63" i="113"/>
  <c r="J57" i="113" s="1"/>
  <c r="I63" i="113"/>
  <c r="F62" i="113"/>
  <c r="F61" i="113"/>
  <c r="F60" i="113"/>
  <c r="F59" i="113"/>
  <c r="K58" i="113"/>
  <c r="J58" i="113"/>
  <c r="I58" i="113"/>
  <c r="H58" i="113"/>
  <c r="G58" i="113"/>
  <c r="F58" i="113" s="1"/>
  <c r="F56" i="113"/>
  <c r="F55" i="113"/>
  <c r="F54" i="113"/>
  <c r="F53" i="113"/>
  <c r="F52" i="113"/>
  <c r="F51" i="113"/>
  <c r="F50" i="113"/>
  <c r="F49" i="113" s="1"/>
  <c r="K49" i="113"/>
  <c r="J49" i="113"/>
  <c r="I49" i="113"/>
  <c r="H49" i="113"/>
  <c r="G49" i="113"/>
  <c r="F48" i="113"/>
  <c r="F47" i="113"/>
  <c r="F46" i="113"/>
  <c r="K45" i="113"/>
  <c r="J45" i="113"/>
  <c r="I45" i="113"/>
  <c r="H45" i="113"/>
  <c r="G45" i="113"/>
  <c r="F44" i="113"/>
  <c r="K43" i="113"/>
  <c r="J43" i="113"/>
  <c r="I43" i="113"/>
  <c r="H43" i="113"/>
  <c r="G43" i="113"/>
  <c r="F43" i="113"/>
  <c r="F42" i="113"/>
  <c r="F41" i="113"/>
  <c r="F40" i="113"/>
  <c r="F39" i="113"/>
  <c r="F38" i="113"/>
  <c r="F37" i="113"/>
  <c r="F36" i="113"/>
  <c r="F35" i="113"/>
  <c r="K34" i="113"/>
  <c r="J34" i="113"/>
  <c r="J20" i="113" s="1"/>
  <c r="I34" i="113"/>
  <c r="H34" i="113"/>
  <c r="F34" i="113" s="1"/>
  <c r="G34" i="113"/>
  <c r="F33" i="113"/>
  <c r="F32" i="113"/>
  <c r="F31" i="113"/>
  <c r="F30" i="113"/>
  <c r="F29" i="113"/>
  <c r="F28" i="113"/>
  <c r="K27" i="113"/>
  <c r="J27" i="113"/>
  <c r="I27" i="113"/>
  <c r="H27" i="113"/>
  <c r="G27" i="113"/>
  <c r="F26" i="113"/>
  <c r="F25" i="113"/>
  <c r="F24" i="113"/>
  <c r="F23" i="113" s="1"/>
  <c r="K23" i="113"/>
  <c r="J23" i="113"/>
  <c r="I23" i="113"/>
  <c r="H23" i="113"/>
  <c r="H20" i="113" s="1"/>
  <c r="G23" i="113"/>
  <c r="G20" i="113" s="1"/>
  <c r="F22" i="113"/>
  <c r="F21" i="113"/>
  <c r="K20" i="113"/>
  <c r="F19" i="113"/>
  <c r="K18" i="113"/>
  <c r="J18" i="113"/>
  <c r="I18" i="113"/>
  <c r="H18" i="113"/>
  <c r="H14" i="113" s="1"/>
  <c r="G18" i="113"/>
  <c r="F17" i="113"/>
  <c r="K14" i="113"/>
  <c r="F14" i="113" s="1"/>
  <c r="J14" i="113"/>
  <c r="G14" i="113"/>
  <c r="J13" i="113" l="1"/>
  <c r="G57" i="113"/>
  <c r="K57" i="113"/>
  <c r="F57" i="113"/>
  <c r="F18" i="113"/>
  <c r="F63" i="113"/>
  <c r="I20" i="113"/>
  <c r="F27" i="113"/>
  <c r="F73" i="113" s="1"/>
  <c r="I57" i="113"/>
  <c r="F45" i="113"/>
  <c r="H57" i="113"/>
  <c r="H13" i="113" s="1"/>
  <c r="F20" i="113"/>
  <c r="G13" i="113"/>
  <c r="I14" i="113"/>
  <c r="K13" i="113"/>
  <c r="F13" i="113" s="1"/>
  <c r="F16" i="84"/>
  <c r="F15" i="84"/>
  <c r="I13" i="113" l="1"/>
  <c r="N25" i="106"/>
  <c r="I25" i="106"/>
  <c r="H25" i="106"/>
  <c r="G25" i="106"/>
  <c r="E26" i="106"/>
  <c r="G66" i="109"/>
  <c r="F41" i="96" l="1"/>
  <c r="H57" i="96" l="1"/>
  <c r="CD60" i="74" l="1"/>
  <c r="H26" i="96"/>
  <c r="F72" i="112" l="1"/>
  <c r="F71" i="112"/>
  <c r="F70" i="112"/>
  <c r="O69" i="112"/>
  <c r="O63" i="112" s="1"/>
  <c r="N69" i="112"/>
  <c r="K69" i="112"/>
  <c r="J69" i="112"/>
  <c r="I69" i="112"/>
  <c r="I63" i="112" s="1"/>
  <c r="I57" i="112" s="1"/>
  <c r="H69" i="112"/>
  <c r="G69" i="112"/>
  <c r="F69" i="112"/>
  <c r="F68" i="112"/>
  <c r="F67" i="112"/>
  <c r="F66" i="112"/>
  <c r="F64" i="112"/>
  <c r="N63" i="112"/>
  <c r="N57" i="112" s="1"/>
  <c r="K63" i="112"/>
  <c r="K57" i="112" s="1"/>
  <c r="J63" i="112"/>
  <c r="H63" i="112"/>
  <c r="G63" i="112"/>
  <c r="G57" i="112" s="1"/>
  <c r="F62" i="112"/>
  <c r="F61" i="112"/>
  <c r="F60" i="112"/>
  <c r="F59" i="112"/>
  <c r="O58" i="112"/>
  <c r="N58" i="112"/>
  <c r="K58" i="112"/>
  <c r="J58" i="112"/>
  <c r="I58" i="112"/>
  <c r="H58" i="112"/>
  <c r="G58" i="112"/>
  <c r="F56" i="112"/>
  <c r="F55" i="112"/>
  <c r="F54" i="112"/>
  <c r="F53" i="112"/>
  <c r="F52" i="112"/>
  <c r="F51" i="112"/>
  <c r="F50" i="112"/>
  <c r="O49" i="112"/>
  <c r="N49" i="112"/>
  <c r="K49" i="112"/>
  <c r="J49" i="112"/>
  <c r="I49" i="112"/>
  <c r="H49" i="112"/>
  <c r="G49" i="112"/>
  <c r="F49" i="112"/>
  <c r="F48" i="112"/>
  <c r="F47" i="112"/>
  <c r="F46" i="112"/>
  <c r="O45" i="112"/>
  <c r="N45" i="112"/>
  <c r="K45" i="112"/>
  <c r="J45" i="112"/>
  <c r="I45" i="112"/>
  <c r="H45" i="112"/>
  <c r="G45" i="112"/>
  <c r="F44" i="112"/>
  <c r="O43" i="112"/>
  <c r="N43" i="112"/>
  <c r="K43" i="112"/>
  <c r="J43" i="112"/>
  <c r="I43" i="112"/>
  <c r="H43" i="112"/>
  <c r="G43" i="112"/>
  <c r="F43" i="112"/>
  <c r="F42" i="112"/>
  <c r="F41" i="112"/>
  <c r="F40" i="112"/>
  <c r="F39" i="112"/>
  <c r="F38" i="112"/>
  <c r="F37" i="112"/>
  <c r="F36" i="112"/>
  <c r="F35" i="112"/>
  <c r="O34" i="112"/>
  <c r="O20" i="112" s="1"/>
  <c r="N34" i="112"/>
  <c r="K34" i="112"/>
  <c r="J34" i="112"/>
  <c r="I34" i="112"/>
  <c r="F34" i="112" s="1"/>
  <c r="H34" i="112"/>
  <c r="G34" i="112"/>
  <c r="F33" i="112"/>
  <c r="F32" i="112"/>
  <c r="F31" i="112"/>
  <c r="F30" i="112"/>
  <c r="F29" i="112"/>
  <c r="F28" i="112"/>
  <c r="O27" i="112"/>
  <c r="N27" i="112"/>
  <c r="K27" i="112"/>
  <c r="J27" i="112"/>
  <c r="I27" i="112"/>
  <c r="H27" i="112"/>
  <c r="G27" i="112"/>
  <c r="F26" i="112"/>
  <c r="F23" i="112" s="1"/>
  <c r="F25" i="112"/>
  <c r="F24" i="112"/>
  <c r="O23" i="112"/>
  <c r="N23" i="112"/>
  <c r="N20" i="112" s="1"/>
  <c r="K23" i="112"/>
  <c r="J23" i="112"/>
  <c r="I23" i="112"/>
  <c r="H23" i="112"/>
  <c r="H20" i="112" s="1"/>
  <c r="G23" i="112"/>
  <c r="F22" i="112"/>
  <c r="F21" i="112"/>
  <c r="F19" i="112"/>
  <c r="O18" i="112"/>
  <c r="O14" i="112" s="1"/>
  <c r="N18" i="112"/>
  <c r="K18" i="112"/>
  <c r="J18" i="112"/>
  <c r="J14" i="112" s="1"/>
  <c r="I18" i="112"/>
  <c r="F18" i="112" s="1"/>
  <c r="H18" i="112"/>
  <c r="G18" i="112"/>
  <c r="F17" i="112"/>
  <c r="F16" i="112"/>
  <c r="F15" i="112"/>
  <c r="N14" i="112"/>
  <c r="K14" i="112"/>
  <c r="H14" i="112"/>
  <c r="G14" i="112"/>
  <c r="F72" i="111"/>
  <c r="F71" i="111"/>
  <c r="F70" i="111"/>
  <c r="O69" i="111"/>
  <c r="N69" i="111"/>
  <c r="N63" i="111" s="1"/>
  <c r="K69" i="111"/>
  <c r="J69" i="111"/>
  <c r="I69" i="111"/>
  <c r="H69" i="111"/>
  <c r="H63" i="111" s="1"/>
  <c r="G69" i="111"/>
  <c r="F68" i="111"/>
  <c r="F67" i="111"/>
  <c r="F66" i="111"/>
  <c r="F65" i="111"/>
  <c r="F63" i="111" s="1"/>
  <c r="F64" i="111"/>
  <c r="O63" i="111"/>
  <c r="K63" i="111"/>
  <c r="J63" i="111"/>
  <c r="I63" i="111"/>
  <c r="G63" i="111"/>
  <c r="F62" i="111"/>
  <c r="F61" i="111"/>
  <c r="F60" i="111"/>
  <c r="F59" i="111"/>
  <c r="O58" i="111"/>
  <c r="N58" i="111"/>
  <c r="K58" i="111"/>
  <c r="J58" i="111"/>
  <c r="I58" i="111"/>
  <c r="H58" i="111"/>
  <c r="G58" i="111"/>
  <c r="F56" i="111"/>
  <c r="F55" i="111"/>
  <c r="F54" i="111"/>
  <c r="F53" i="111"/>
  <c r="F52" i="111"/>
  <c r="F51" i="111"/>
  <c r="F50" i="111"/>
  <c r="O49" i="111"/>
  <c r="N49" i="111"/>
  <c r="K49" i="111"/>
  <c r="J49" i="111"/>
  <c r="I49" i="111"/>
  <c r="H49" i="111"/>
  <c r="G49" i="111"/>
  <c r="F48" i="111"/>
  <c r="F47" i="111"/>
  <c r="F46" i="111"/>
  <c r="O45" i="111"/>
  <c r="N45" i="111"/>
  <c r="K45" i="111"/>
  <c r="J45" i="111"/>
  <c r="I45" i="111"/>
  <c r="H45" i="111"/>
  <c r="G45" i="111"/>
  <c r="F44" i="111"/>
  <c r="O43" i="111"/>
  <c r="N43" i="111"/>
  <c r="K43" i="111"/>
  <c r="J43" i="111"/>
  <c r="I43" i="111"/>
  <c r="H43" i="111"/>
  <c r="G43" i="111"/>
  <c r="F43" i="111"/>
  <c r="F42" i="111"/>
  <c r="F41" i="111"/>
  <c r="F40" i="111"/>
  <c r="F39" i="111"/>
  <c r="F38" i="111"/>
  <c r="F37" i="111"/>
  <c r="F36" i="111"/>
  <c r="F35" i="111"/>
  <c r="O34" i="111"/>
  <c r="N34" i="111"/>
  <c r="K34" i="111"/>
  <c r="J34" i="111"/>
  <c r="I34" i="111"/>
  <c r="H34" i="111"/>
  <c r="G34" i="111"/>
  <c r="F33" i="111"/>
  <c r="F32" i="111"/>
  <c r="F31" i="111"/>
  <c r="F30" i="111"/>
  <c r="F29" i="111"/>
  <c r="F27" i="111" s="1"/>
  <c r="F28" i="111"/>
  <c r="O27" i="111"/>
  <c r="N27" i="111"/>
  <c r="K27" i="111"/>
  <c r="J27" i="111"/>
  <c r="I27" i="111"/>
  <c r="H27" i="111"/>
  <c r="G27" i="111"/>
  <c r="F26" i="111"/>
  <c r="F25" i="111"/>
  <c r="F23" i="111" s="1"/>
  <c r="F24" i="111"/>
  <c r="O23" i="111"/>
  <c r="O20" i="111" s="1"/>
  <c r="N23" i="111"/>
  <c r="K23" i="111"/>
  <c r="J23" i="111"/>
  <c r="J20" i="111" s="1"/>
  <c r="I23" i="111"/>
  <c r="I20" i="111" s="1"/>
  <c r="H23" i="111"/>
  <c r="G23" i="111"/>
  <c r="F22" i="111"/>
  <c r="F21" i="111"/>
  <c r="N20" i="111"/>
  <c r="K20" i="111"/>
  <c r="H20" i="111"/>
  <c r="G20" i="111"/>
  <c r="F19" i="111"/>
  <c r="O18" i="111"/>
  <c r="N18" i="111"/>
  <c r="N14" i="111" s="1"/>
  <c r="K18" i="111"/>
  <c r="K14" i="111" s="1"/>
  <c r="J18" i="111"/>
  <c r="I18" i="111"/>
  <c r="H18" i="111"/>
  <c r="H14" i="111" s="1"/>
  <c r="G18" i="111"/>
  <c r="F18" i="111" s="1"/>
  <c r="F17" i="111"/>
  <c r="F16" i="111"/>
  <c r="F15" i="111"/>
  <c r="O14" i="111"/>
  <c r="J14" i="111"/>
  <c r="I14" i="111"/>
  <c r="N57" i="111" l="1"/>
  <c r="N13" i="111" s="1"/>
  <c r="F27" i="112"/>
  <c r="J20" i="112"/>
  <c r="G20" i="112"/>
  <c r="K20" i="112"/>
  <c r="K13" i="112" s="1"/>
  <c r="F49" i="111"/>
  <c r="I57" i="111"/>
  <c r="I13" i="111" s="1"/>
  <c r="J57" i="111"/>
  <c r="H57" i="111"/>
  <c r="G57" i="111"/>
  <c r="O57" i="111"/>
  <c r="F69" i="111"/>
  <c r="F45" i="111"/>
  <c r="J57" i="112"/>
  <c r="J13" i="112" s="1"/>
  <c r="N13" i="112"/>
  <c r="H13" i="111"/>
  <c r="F20" i="112"/>
  <c r="O57" i="112"/>
  <c r="O13" i="112" s="1"/>
  <c r="J13" i="111"/>
  <c r="I14" i="112"/>
  <c r="I20" i="112"/>
  <c r="G13" i="112"/>
  <c r="F63" i="112"/>
  <c r="F34" i="111"/>
  <c r="F20" i="111" s="1"/>
  <c r="K57" i="111"/>
  <c r="K13" i="111" s="1"/>
  <c r="F45" i="112"/>
  <c r="F58" i="112"/>
  <c r="H57" i="112"/>
  <c r="H13" i="112" s="1"/>
  <c r="O13" i="111"/>
  <c r="G14" i="111"/>
  <c r="F14" i="111" s="1"/>
  <c r="F58" i="111"/>
  <c r="F14" i="112"/>
  <c r="F57" i="112" l="1"/>
  <c r="F13" i="112" s="1"/>
  <c r="I13" i="112"/>
  <c r="F57" i="111"/>
  <c r="F13" i="111" s="1"/>
  <c r="G13" i="111"/>
  <c r="F73" i="112"/>
  <c r="CV39" i="95" s="1"/>
  <c r="F73" i="111" l="1"/>
  <c r="F72" i="110"/>
  <c r="F71" i="110"/>
  <c r="F70" i="110"/>
  <c r="O69" i="110"/>
  <c r="N69" i="110"/>
  <c r="K69" i="110"/>
  <c r="J69" i="110"/>
  <c r="I69" i="110"/>
  <c r="H69" i="110"/>
  <c r="G69" i="110"/>
  <c r="F69" i="110"/>
  <c r="F68" i="110"/>
  <c r="F67" i="110"/>
  <c r="F63" i="110" s="1"/>
  <c r="F66" i="110"/>
  <c r="F64" i="110"/>
  <c r="N63" i="110"/>
  <c r="K63" i="110"/>
  <c r="J63" i="110"/>
  <c r="I63" i="110"/>
  <c r="I57" i="110" s="1"/>
  <c r="H63" i="110"/>
  <c r="G63" i="110"/>
  <c r="F62" i="110"/>
  <c r="F61" i="110"/>
  <c r="F60" i="110"/>
  <c r="F59" i="110"/>
  <c r="O58" i="110"/>
  <c r="N58" i="110"/>
  <c r="K58" i="110"/>
  <c r="J58" i="110"/>
  <c r="I58" i="110"/>
  <c r="H58" i="110"/>
  <c r="G58" i="110"/>
  <c r="F56" i="110"/>
  <c r="F55" i="110"/>
  <c r="F54" i="110"/>
  <c r="F53" i="110"/>
  <c r="F52" i="110"/>
  <c r="F51" i="110"/>
  <c r="F50" i="110"/>
  <c r="O49" i="110"/>
  <c r="N49" i="110"/>
  <c r="K49" i="110"/>
  <c r="J49" i="110"/>
  <c r="I49" i="110"/>
  <c r="H49" i="110"/>
  <c r="G49" i="110"/>
  <c r="F48" i="110"/>
  <c r="F47" i="110"/>
  <c r="F46" i="110"/>
  <c r="O45" i="110"/>
  <c r="N45" i="110"/>
  <c r="K45" i="110"/>
  <c r="J45" i="110"/>
  <c r="I45" i="110"/>
  <c r="H45" i="110"/>
  <c r="G45" i="110"/>
  <c r="F44" i="110"/>
  <c r="O43" i="110"/>
  <c r="N43" i="110"/>
  <c r="K43" i="110"/>
  <c r="J43" i="110"/>
  <c r="I43" i="110"/>
  <c r="H43" i="110"/>
  <c r="G43" i="110"/>
  <c r="F43" i="110"/>
  <c r="F42" i="110"/>
  <c r="F41" i="110"/>
  <c r="F40" i="110"/>
  <c r="F39" i="110"/>
  <c r="F38" i="110"/>
  <c r="F37" i="110"/>
  <c r="F36" i="110"/>
  <c r="F35" i="110"/>
  <c r="O34" i="110"/>
  <c r="N34" i="110"/>
  <c r="N20" i="110" s="1"/>
  <c r="K34" i="110"/>
  <c r="J34" i="110"/>
  <c r="I34" i="110"/>
  <c r="H34" i="110"/>
  <c r="G34" i="110"/>
  <c r="F33" i="110"/>
  <c r="F32" i="110"/>
  <c r="F31" i="110"/>
  <c r="F30" i="110"/>
  <c r="F29" i="110"/>
  <c r="F28" i="110"/>
  <c r="O27" i="110"/>
  <c r="N27" i="110"/>
  <c r="K27" i="110"/>
  <c r="J27" i="110"/>
  <c r="I27" i="110"/>
  <c r="H27" i="110"/>
  <c r="G27" i="110"/>
  <c r="F26" i="110"/>
  <c r="F25" i="110"/>
  <c r="F24" i="110"/>
  <c r="O23" i="110"/>
  <c r="N23" i="110"/>
  <c r="K23" i="110"/>
  <c r="J23" i="110"/>
  <c r="I23" i="110"/>
  <c r="H23" i="110"/>
  <c r="G23" i="110"/>
  <c r="F22" i="110"/>
  <c r="F21" i="110"/>
  <c r="H20" i="110"/>
  <c r="F19" i="110"/>
  <c r="O18" i="110"/>
  <c r="O14" i="110" s="1"/>
  <c r="N18" i="110"/>
  <c r="K18" i="110"/>
  <c r="K14" i="110" s="1"/>
  <c r="J18" i="110"/>
  <c r="I18" i="110"/>
  <c r="I14" i="110" s="1"/>
  <c r="H18" i="110"/>
  <c r="H14" i="110" s="1"/>
  <c r="G18" i="110"/>
  <c r="F17" i="110"/>
  <c r="F16" i="110"/>
  <c r="F15" i="110"/>
  <c r="N14" i="110"/>
  <c r="J14" i="110"/>
  <c r="J20" i="110" l="1"/>
  <c r="K57" i="110"/>
  <c r="F34" i="110"/>
  <c r="F45" i="110"/>
  <c r="J57" i="110"/>
  <c r="J13" i="110" s="1"/>
  <c r="F18" i="110"/>
  <c r="F23" i="110"/>
  <c r="G57" i="110"/>
  <c r="F58" i="110"/>
  <c r="H57" i="110"/>
  <c r="H13" i="110" s="1"/>
  <c r="N57" i="110"/>
  <c r="N13" i="110"/>
  <c r="F49" i="110"/>
  <c r="G20" i="110"/>
  <c r="I20" i="110"/>
  <c r="I13" i="110" s="1"/>
  <c r="K20" i="110"/>
  <c r="O20" i="110"/>
  <c r="F27" i="110"/>
  <c r="F20" i="110"/>
  <c r="G14" i="110"/>
  <c r="O63" i="110"/>
  <c r="O57" i="110" s="1"/>
  <c r="O13" i="110" s="1"/>
  <c r="K13" i="110" l="1"/>
  <c r="F57" i="110"/>
  <c r="G13" i="110"/>
  <c r="F14" i="110"/>
  <c r="T70" i="103"/>
  <c r="T64" i="103" s="1"/>
  <c r="S70" i="103"/>
  <c r="S64" i="103"/>
  <c r="T59" i="103"/>
  <c r="S59" i="103"/>
  <c r="T51" i="103"/>
  <c r="S51" i="103"/>
  <c r="T48" i="103"/>
  <c r="T46" i="103" s="1"/>
  <c r="S48" i="103"/>
  <c r="S46" i="103"/>
  <c r="T36" i="103"/>
  <c r="S36" i="103"/>
  <c r="T29" i="103"/>
  <c r="S29" i="103"/>
  <c r="T24" i="103"/>
  <c r="T20" i="103" s="1"/>
  <c r="S24" i="103"/>
  <c r="S20" i="103" s="1"/>
  <c r="T18" i="103"/>
  <c r="T14" i="103" s="1"/>
  <c r="S18" i="103"/>
  <c r="S14" i="103" s="1"/>
  <c r="F73" i="110" l="1"/>
  <c r="F13" i="110"/>
  <c r="T58" i="103"/>
  <c r="T13" i="103" s="1"/>
  <c r="S58" i="103"/>
  <c r="S13" i="103" s="1"/>
  <c r="I35" i="106" l="1"/>
  <c r="I33" i="106" s="1"/>
  <c r="I28" i="106"/>
  <c r="I21" i="106"/>
  <c r="I18" i="106"/>
  <c r="I15" i="106"/>
  <c r="I27" i="106" l="1"/>
  <c r="DD52" i="95" l="1"/>
  <c r="DD48" i="95"/>
  <c r="CV48" i="95"/>
  <c r="CN48" i="95"/>
  <c r="CF48" i="95"/>
  <c r="CV45" i="95"/>
  <c r="CN45" i="95"/>
  <c r="CF41" i="95"/>
  <c r="DD37" i="95"/>
  <c r="DD28" i="95"/>
  <c r="DD10" i="95"/>
  <c r="DD9" i="95" s="1"/>
  <c r="AN12" i="74" l="1"/>
  <c r="CD52" i="74" l="1"/>
  <c r="BU52" i="74"/>
  <c r="BL52" i="74"/>
  <c r="F25" i="106" l="1"/>
  <c r="O25" i="106" l="1"/>
  <c r="N43" i="100" l="1"/>
  <c r="V15" i="106" l="1"/>
  <c r="O15" i="106"/>
  <c r="H15" i="106"/>
  <c r="F73" i="103" l="1"/>
  <c r="F71" i="103"/>
  <c r="R70" i="103"/>
  <c r="R64" i="103" s="1"/>
  <c r="Q70" i="103"/>
  <c r="P70" i="103"/>
  <c r="O70" i="103"/>
  <c r="N70" i="103"/>
  <c r="N64" i="103" s="1"/>
  <c r="M70" i="103"/>
  <c r="M64" i="103" s="1"/>
  <c r="L70" i="103"/>
  <c r="K70" i="103"/>
  <c r="J70" i="103"/>
  <c r="I70" i="103"/>
  <c r="I64" i="103" s="1"/>
  <c r="I58" i="103" s="1"/>
  <c r="F69" i="103"/>
  <c r="F68" i="103"/>
  <c r="F67" i="103"/>
  <c r="F66" i="103"/>
  <c r="F65" i="103"/>
  <c r="P64" i="103"/>
  <c r="O64" i="103"/>
  <c r="O58" i="103" s="1"/>
  <c r="L64" i="103"/>
  <c r="K64" i="103"/>
  <c r="K58" i="103" s="1"/>
  <c r="J64" i="103"/>
  <c r="J58" i="103" s="1"/>
  <c r="F63" i="103"/>
  <c r="F62" i="103"/>
  <c r="F61" i="103"/>
  <c r="F60" i="103"/>
  <c r="R59" i="103"/>
  <c r="Q59" i="103"/>
  <c r="P59" i="103"/>
  <c r="O59" i="103"/>
  <c r="N59" i="103"/>
  <c r="M59" i="103"/>
  <c r="L59" i="103"/>
  <c r="K59" i="103"/>
  <c r="J59" i="103"/>
  <c r="I59" i="103"/>
  <c r="F57" i="103"/>
  <c r="F56" i="103"/>
  <c r="F55" i="103"/>
  <c r="F54" i="103"/>
  <c r="F53" i="103"/>
  <c r="F52" i="103"/>
  <c r="R51" i="103"/>
  <c r="Q51" i="103"/>
  <c r="P51" i="103"/>
  <c r="O51" i="103"/>
  <c r="N51" i="103"/>
  <c r="M51" i="103"/>
  <c r="L51" i="103"/>
  <c r="K51" i="103"/>
  <c r="J51" i="103"/>
  <c r="I51" i="103"/>
  <c r="F50" i="103"/>
  <c r="F49" i="103"/>
  <c r="R48" i="103"/>
  <c r="Q48" i="103"/>
  <c r="P48" i="103"/>
  <c r="O48" i="103"/>
  <c r="N48" i="103"/>
  <c r="M48" i="103"/>
  <c r="L48" i="103"/>
  <c r="K48" i="103"/>
  <c r="J48" i="103"/>
  <c r="I48" i="103"/>
  <c r="F48" i="103" s="1"/>
  <c r="F47" i="103"/>
  <c r="F46" i="103" s="1"/>
  <c r="R46" i="103"/>
  <c r="Q46" i="103"/>
  <c r="P46" i="103"/>
  <c r="O46" i="103"/>
  <c r="N46" i="103"/>
  <c r="M46" i="103"/>
  <c r="L46" i="103"/>
  <c r="K46" i="103"/>
  <c r="J46" i="103"/>
  <c r="I46" i="103"/>
  <c r="F45" i="103"/>
  <c r="F44" i="103"/>
  <c r="F43" i="103"/>
  <c r="F42" i="103"/>
  <c r="F41" i="103"/>
  <c r="F39" i="103"/>
  <c r="F38" i="103"/>
  <c r="F37" i="103"/>
  <c r="R36" i="103"/>
  <c r="Q36" i="103"/>
  <c r="P36" i="103"/>
  <c r="O36" i="103"/>
  <c r="N36" i="103"/>
  <c r="M36" i="103"/>
  <c r="L36" i="103"/>
  <c r="K36" i="103"/>
  <c r="J36" i="103"/>
  <c r="I36" i="103"/>
  <c r="F35" i="103"/>
  <c r="F34" i="103"/>
  <c r="F33" i="103"/>
  <c r="F32" i="103"/>
  <c r="F31" i="103"/>
  <c r="F30" i="103"/>
  <c r="R29" i="103"/>
  <c r="Q29" i="103"/>
  <c r="P29" i="103"/>
  <c r="O29" i="103"/>
  <c r="N29" i="103"/>
  <c r="M29" i="103"/>
  <c r="L29" i="103"/>
  <c r="K29" i="103"/>
  <c r="J29" i="103"/>
  <c r="I29" i="103"/>
  <c r="F26" i="103"/>
  <c r="F25" i="103"/>
  <c r="R24" i="103"/>
  <c r="R20" i="103" s="1"/>
  <c r="Q24" i="103"/>
  <c r="Q20" i="103" s="1"/>
  <c r="P24" i="103"/>
  <c r="P20" i="103" s="1"/>
  <c r="O24" i="103"/>
  <c r="O20" i="103" s="1"/>
  <c r="N24" i="103"/>
  <c r="N20" i="103" s="1"/>
  <c r="M24" i="103"/>
  <c r="M20" i="103" s="1"/>
  <c r="L24" i="103"/>
  <c r="L20" i="103" s="1"/>
  <c r="K24" i="103"/>
  <c r="K20" i="103" s="1"/>
  <c r="J24" i="103"/>
  <c r="J20" i="103" s="1"/>
  <c r="I24" i="103"/>
  <c r="I20" i="103" s="1"/>
  <c r="F23" i="103"/>
  <c r="F21" i="103"/>
  <c r="F19" i="103"/>
  <c r="R18" i="103"/>
  <c r="Q18" i="103"/>
  <c r="Q14" i="103" s="1"/>
  <c r="P18" i="103"/>
  <c r="O18" i="103"/>
  <c r="O14" i="103" s="1"/>
  <c r="N18" i="103"/>
  <c r="M18" i="103"/>
  <c r="M14" i="103" s="1"/>
  <c r="L18" i="103"/>
  <c r="L14" i="103" s="1"/>
  <c r="K18" i="103"/>
  <c r="K14" i="103" s="1"/>
  <c r="J18" i="103"/>
  <c r="I18" i="103"/>
  <c r="F17" i="103"/>
  <c r="CD82" i="74" s="1"/>
  <c r="F16" i="103"/>
  <c r="CD80" i="74" s="1"/>
  <c r="R14" i="103"/>
  <c r="F15" i="103"/>
  <c r="CD73" i="74" s="1"/>
  <c r="P14" i="103"/>
  <c r="N14" i="103"/>
  <c r="T70" i="102"/>
  <c r="S70" i="102"/>
  <c r="Q70" i="102"/>
  <c r="P70" i="102"/>
  <c r="O70" i="102"/>
  <c r="N70" i="102"/>
  <c r="M70" i="102"/>
  <c r="L70" i="102"/>
  <c r="K70" i="102"/>
  <c r="J70" i="102"/>
  <c r="I70" i="102"/>
  <c r="T70" i="84"/>
  <c r="S70" i="84"/>
  <c r="R70" i="84"/>
  <c r="Q70" i="84"/>
  <c r="P70" i="84"/>
  <c r="O70" i="84"/>
  <c r="N70" i="84"/>
  <c r="M70" i="84"/>
  <c r="L70" i="84"/>
  <c r="K70" i="84"/>
  <c r="J70" i="84"/>
  <c r="I70" i="84"/>
  <c r="H70" i="84"/>
  <c r="F24" i="103" l="1"/>
  <c r="F51" i="103"/>
  <c r="M58" i="103"/>
  <c r="N58" i="103"/>
  <c r="N13" i="103" s="1"/>
  <c r="P58" i="103"/>
  <c r="P13" i="103" s="1"/>
  <c r="K13" i="103"/>
  <c r="F36" i="103"/>
  <c r="R58" i="103"/>
  <c r="R13" i="103" s="1"/>
  <c r="F29" i="103"/>
  <c r="F59" i="103"/>
  <c r="O13" i="103"/>
  <c r="F18" i="103"/>
  <c r="L58" i="103"/>
  <c r="L13" i="103" s="1"/>
  <c r="F72" i="103"/>
  <c r="F70" i="103" s="1"/>
  <c r="F64" i="103" s="1"/>
  <c r="Q64" i="103"/>
  <c r="Q58" i="103" s="1"/>
  <c r="Q13" i="103" s="1"/>
  <c r="M13" i="103"/>
  <c r="F73" i="102"/>
  <c r="R70" i="102"/>
  <c r="R64" i="102" s="1"/>
  <c r="F71" i="102"/>
  <c r="F69" i="102"/>
  <c r="F68" i="102"/>
  <c r="F67" i="102"/>
  <c r="S64" i="102"/>
  <c r="F65" i="102"/>
  <c r="T64" i="102"/>
  <c r="Q64" i="102"/>
  <c r="P64" i="102"/>
  <c r="O64" i="102"/>
  <c r="N64" i="102"/>
  <c r="M64" i="102"/>
  <c r="L64" i="102"/>
  <c r="K64" i="102"/>
  <c r="J64" i="102"/>
  <c r="I64" i="102"/>
  <c r="F63" i="102"/>
  <c r="F62" i="102"/>
  <c r="F61" i="102"/>
  <c r="F60" i="102"/>
  <c r="T59" i="102"/>
  <c r="S59" i="102"/>
  <c r="R59" i="102"/>
  <c r="Q59" i="102"/>
  <c r="Q58" i="102" s="1"/>
  <c r="P59" i="102"/>
  <c r="O59" i="102"/>
  <c r="N59" i="102"/>
  <c r="M59" i="102"/>
  <c r="M58" i="102" s="1"/>
  <c r="L59" i="102"/>
  <c r="K59" i="102"/>
  <c r="K58" i="102" s="1"/>
  <c r="J59" i="102"/>
  <c r="I59" i="102"/>
  <c r="I58" i="102" s="1"/>
  <c r="L58" i="102"/>
  <c r="F57" i="102"/>
  <c r="F56" i="102"/>
  <c r="F55" i="102"/>
  <c r="F54" i="102"/>
  <c r="F53" i="102"/>
  <c r="F52" i="102"/>
  <c r="T51" i="102"/>
  <c r="S51" i="102"/>
  <c r="R51" i="102"/>
  <c r="Q51" i="102"/>
  <c r="P51" i="102"/>
  <c r="O51" i="102"/>
  <c r="N51" i="102"/>
  <c r="M51" i="102"/>
  <c r="L51" i="102"/>
  <c r="K51" i="102"/>
  <c r="J51" i="102"/>
  <c r="I51" i="102"/>
  <c r="F50" i="102"/>
  <c r="F49" i="102"/>
  <c r="T48" i="102"/>
  <c r="S48" i="102"/>
  <c r="S46" i="102" s="1"/>
  <c r="R48" i="102"/>
  <c r="Q48" i="102"/>
  <c r="P48" i="102"/>
  <c r="O48" i="102"/>
  <c r="N48" i="102"/>
  <c r="M48" i="102"/>
  <c r="L48" i="102"/>
  <c r="K48" i="102"/>
  <c r="J48" i="102"/>
  <c r="I48" i="102"/>
  <c r="F47" i="102"/>
  <c r="F46" i="102" s="1"/>
  <c r="T46" i="102"/>
  <c r="R46" i="102"/>
  <c r="Q46" i="102"/>
  <c r="P46" i="102"/>
  <c r="O46" i="102"/>
  <c r="N46" i="102"/>
  <c r="M46" i="102"/>
  <c r="L46" i="102"/>
  <c r="K46" i="102"/>
  <c r="J46" i="102"/>
  <c r="I46" i="102"/>
  <c r="F45" i="102"/>
  <c r="F44" i="102"/>
  <c r="F43" i="102"/>
  <c r="F42" i="102"/>
  <c r="F41" i="102"/>
  <c r="F39" i="102"/>
  <c r="F38" i="102"/>
  <c r="F37" i="102"/>
  <c r="T36" i="102"/>
  <c r="S36" i="102"/>
  <c r="R36" i="102"/>
  <c r="Q36" i="102"/>
  <c r="P36" i="102"/>
  <c r="O36" i="102"/>
  <c r="N36" i="102"/>
  <c r="M36" i="102"/>
  <c r="L36" i="102"/>
  <c r="K36" i="102"/>
  <c r="J36" i="102"/>
  <c r="I36" i="102"/>
  <c r="F35" i="102"/>
  <c r="F34" i="102"/>
  <c r="F33" i="102"/>
  <c r="F32" i="102"/>
  <c r="F31" i="102"/>
  <c r="F30" i="102"/>
  <c r="T29" i="102"/>
  <c r="S29" i="102"/>
  <c r="R29" i="102"/>
  <c r="Q29" i="102"/>
  <c r="P29" i="102"/>
  <c r="O29" i="102"/>
  <c r="N29" i="102"/>
  <c r="M29" i="102"/>
  <c r="L29" i="102"/>
  <c r="K29" i="102"/>
  <c r="J29" i="102"/>
  <c r="I29" i="102"/>
  <c r="F26" i="102"/>
  <c r="F25" i="102"/>
  <c r="T24" i="102"/>
  <c r="T20" i="102" s="1"/>
  <c r="S24" i="102"/>
  <c r="S20" i="102" s="1"/>
  <c r="R24" i="102"/>
  <c r="R20" i="102" s="1"/>
  <c r="Q24" i="102"/>
  <c r="Q20" i="102" s="1"/>
  <c r="P24" i="102"/>
  <c r="P20" i="102" s="1"/>
  <c r="O24" i="102"/>
  <c r="O20" i="102" s="1"/>
  <c r="N24" i="102"/>
  <c r="N20" i="102" s="1"/>
  <c r="M24" i="102"/>
  <c r="M20" i="102" s="1"/>
  <c r="L24" i="102"/>
  <c r="L20" i="102" s="1"/>
  <c r="K24" i="102"/>
  <c r="K20" i="102" s="1"/>
  <c r="J24" i="102"/>
  <c r="J20" i="102" s="1"/>
  <c r="I24" i="102"/>
  <c r="I20" i="102" s="1"/>
  <c r="F23" i="102"/>
  <c r="F21" i="102"/>
  <c r="F19" i="102"/>
  <c r="T18" i="102"/>
  <c r="S18" i="102"/>
  <c r="R18" i="102"/>
  <c r="Q18" i="102"/>
  <c r="Q14" i="102" s="1"/>
  <c r="P18" i="102"/>
  <c r="O18" i="102"/>
  <c r="N18" i="102"/>
  <c r="M18" i="102"/>
  <c r="M14" i="102" s="1"/>
  <c r="L18" i="102"/>
  <c r="K18" i="102"/>
  <c r="J18" i="102"/>
  <c r="I18" i="102"/>
  <c r="F17" i="102"/>
  <c r="BU82" i="74" s="1"/>
  <c r="F16" i="102"/>
  <c r="BU80" i="74" s="1"/>
  <c r="F15" i="102"/>
  <c r="T14" i="102"/>
  <c r="S14" i="102"/>
  <c r="R14" i="102"/>
  <c r="P14" i="102"/>
  <c r="O14" i="102"/>
  <c r="N14" i="102"/>
  <c r="L14" i="102"/>
  <c r="K14" i="102"/>
  <c r="G70" i="84"/>
  <c r="G64" i="84" s="1"/>
  <c r="R64" i="84"/>
  <c r="R59" i="84"/>
  <c r="R51" i="84"/>
  <c r="R48" i="84"/>
  <c r="R46" i="84"/>
  <c r="R36" i="84"/>
  <c r="R20" i="84" s="1"/>
  <c r="R29" i="84"/>
  <c r="R24" i="84"/>
  <c r="R18" i="84"/>
  <c r="BU73" i="74" l="1"/>
  <c r="F20" i="103"/>
  <c r="F24" i="102"/>
  <c r="J58" i="102"/>
  <c r="F14" i="103"/>
  <c r="T58" i="102"/>
  <c r="R58" i="102"/>
  <c r="R13" i="102" s="1"/>
  <c r="O58" i="102"/>
  <c r="O13" i="102" s="1"/>
  <c r="F58" i="103"/>
  <c r="F14" i="102"/>
  <c r="L13" i="102"/>
  <c r="P58" i="102"/>
  <c r="P13" i="102" s="1"/>
  <c r="M13" i="102"/>
  <c r="Q13" i="102"/>
  <c r="N58" i="102"/>
  <c r="N13" i="102" s="1"/>
  <c r="F66" i="102"/>
  <c r="F72" i="102"/>
  <c r="F70" i="102" s="1"/>
  <c r="F18" i="102"/>
  <c r="F36" i="102"/>
  <c r="K13" i="102"/>
  <c r="S58" i="102"/>
  <c r="S13" i="102" s="1"/>
  <c r="F76" i="102" s="1"/>
  <c r="CN39" i="95" s="1"/>
  <c r="F59" i="102"/>
  <c r="F51" i="102"/>
  <c r="F29" i="102"/>
  <c r="R14" i="84"/>
  <c r="R58" i="84"/>
  <c r="F20" i="102" l="1"/>
  <c r="T13" i="102"/>
  <c r="F13" i="103"/>
  <c r="CD44" i="74" s="1"/>
  <c r="F64" i="102"/>
  <c r="F48" i="102"/>
  <c r="R13" i="84"/>
  <c r="F58" i="102" l="1"/>
  <c r="F74" i="102" s="1"/>
  <c r="F75" i="102" s="1"/>
  <c r="CN34" i="95" s="1"/>
  <c r="F13" i="102"/>
  <c r="BU44" i="74" s="1"/>
  <c r="F18" i="106" l="1"/>
  <c r="G18" i="106"/>
  <c r="H18" i="106"/>
  <c r="N18" i="106"/>
  <c r="O18" i="106"/>
  <c r="P18" i="106"/>
  <c r="Q18" i="106"/>
  <c r="R18" i="106"/>
  <c r="S18" i="106"/>
  <c r="T18" i="106"/>
  <c r="U18" i="106"/>
  <c r="CD109" i="74" l="1"/>
  <c r="BU107" i="74"/>
  <c r="CD107" i="74"/>
  <c r="BU109" i="74"/>
  <c r="U18" i="102"/>
  <c r="U14" i="102" s="1"/>
  <c r="V18" i="102"/>
  <c r="V14" i="102" s="1"/>
  <c r="U24" i="102"/>
  <c r="V24" i="102"/>
  <c r="U29" i="102"/>
  <c r="V29" i="102"/>
  <c r="U36" i="102"/>
  <c r="V36" i="102"/>
  <c r="U48" i="102"/>
  <c r="U46" i="102" s="1"/>
  <c r="V48" i="102"/>
  <c r="V46" i="102" s="1"/>
  <c r="U51" i="102"/>
  <c r="V51" i="102"/>
  <c r="U59" i="102"/>
  <c r="V59" i="102"/>
  <c r="V65" i="102"/>
  <c r="U70" i="102"/>
  <c r="U64" i="102" s="1"/>
  <c r="V70" i="102"/>
  <c r="F62" i="100"/>
  <c r="V64" i="102" l="1"/>
  <c r="V20" i="102"/>
  <c r="U20" i="102"/>
  <c r="U58" i="102"/>
  <c r="U13" i="102" s="1"/>
  <c r="V58" i="102"/>
  <c r="V13" i="102" l="1"/>
  <c r="L64" i="84"/>
  <c r="L59" i="84"/>
  <c r="L51" i="84"/>
  <c r="L48" i="84"/>
  <c r="L46" i="84"/>
  <c r="L36" i="84"/>
  <c r="L20" i="84" s="1"/>
  <c r="L29" i="84"/>
  <c r="L24" i="84"/>
  <c r="L18" i="84"/>
  <c r="L14" i="84" s="1"/>
  <c r="L58" i="84" l="1"/>
  <c r="L13" i="84" l="1"/>
  <c r="V51" i="103"/>
  <c r="U51" i="103"/>
  <c r="G28" i="96" l="1"/>
  <c r="N64" i="84" l="1"/>
  <c r="M64" i="84"/>
  <c r="K64" i="84"/>
  <c r="I64" i="84"/>
  <c r="J64" i="84"/>
  <c r="N59" i="84"/>
  <c r="M59" i="84"/>
  <c r="K59" i="84"/>
  <c r="J59" i="84"/>
  <c r="I59" i="84"/>
  <c r="N51" i="84"/>
  <c r="M51" i="84"/>
  <c r="K51" i="84"/>
  <c r="J51" i="84"/>
  <c r="I51" i="84"/>
  <c r="N48" i="84"/>
  <c r="M48" i="84"/>
  <c r="K48" i="84"/>
  <c r="J48" i="84"/>
  <c r="I48" i="84"/>
  <c r="N46" i="84"/>
  <c r="M46" i="84"/>
  <c r="K46" i="84"/>
  <c r="J46" i="84"/>
  <c r="I46" i="84"/>
  <c r="N36" i="84"/>
  <c r="N20" i="84" s="1"/>
  <c r="M36" i="84"/>
  <c r="M20" i="84" s="1"/>
  <c r="K36" i="84"/>
  <c r="K20" i="84" s="1"/>
  <c r="J36" i="84"/>
  <c r="J20" i="84" s="1"/>
  <c r="I36" i="84"/>
  <c r="I20" i="84" s="1"/>
  <c r="N29" i="84"/>
  <c r="M29" i="84"/>
  <c r="K29" i="84"/>
  <c r="J29" i="84"/>
  <c r="I29" i="84"/>
  <c r="N24" i="84"/>
  <c r="M24" i="84"/>
  <c r="K24" i="84"/>
  <c r="J24" i="84"/>
  <c r="I24" i="84"/>
  <c r="N18" i="84"/>
  <c r="N14" i="84" s="1"/>
  <c r="M18" i="84"/>
  <c r="M14" i="84" s="1"/>
  <c r="K18" i="84"/>
  <c r="J18" i="84"/>
  <c r="J14" i="84" s="1"/>
  <c r="I18" i="84"/>
  <c r="I14" i="84" s="1"/>
  <c r="K14" i="84"/>
  <c r="M13" i="84" l="1"/>
  <c r="M58" i="84"/>
  <c r="I58" i="84"/>
  <c r="K58" i="84"/>
  <c r="K13" i="84" s="1"/>
  <c r="J58" i="84"/>
  <c r="J13" i="84" s="1"/>
  <c r="N58" i="84"/>
  <c r="N13" i="84" s="1"/>
  <c r="I13" i="84"/>
  <c r="CD53" i="74" l="1"/>
  <c r="BU53" i="74"/>
  <c r="BL53" i="74"/>
  <c r="CD39" i="74"/>
  <c r="BU39" i="74"/>
  <c r="BL39" i="74"/>
  <c r="F53" i="84" l="1"/>
  <c r="H46" i="84" l="1"/>
  <c r="G46" i="84"/>
  <c r="Q46" i="84"/>
  <c r="P46" i="84"/>
  <c r="O46" i="84"/>
  <c r="F47" i="84"/>
  <c r="F46" i="84" s="1"/>
  <c r="BL96" i="74" s="1"/>
  <c r="E25" i="108" l="1"/>
  <c r="E23" i="108"/>
  <c r="E22" i="108"/>
  <c r="E21" i="108"/>
  <c r="E37" i="107"/>
  <c r="E35" i="107"/>
  <c r="E33" i="107"/>
  <c r="E31" i="107"/>
  <c r="E30" i="107"/>
  <c r="E29" i="107"/>
  <c r="E28" i="107"/>
  <c r="E25" i="107"/>
  <c r="E23" i="107"/>
  <c r="E22" i="107"/>
  <c r="E21" i="107"/>
  <c r="E38" i="106"/>
  <c r="E36" i="106"/>
  <c r="E34" i="106"/>
  <c r="E32" i="106"/>
  <c r="E31" i="106"/>
  <c r="E30" i="106"/>
  <c r="E29" i="106"/>
  <c r="E24" i="106"/>
  <c r="E22" i="106"/>
  <c r="E37" i="108"/>
  <c r="E35" i="108"/>
  <c r="E33" i="108"/>
  <c r="E30" i="108"/>
  <c r="E29" i="108"/>
  <c r="E28" i="108"/>
  <c r="E31" i="108"/>
  <c r="E19" i="108"/>
  <c r="CD75" i="74" s="1"/>
  <c r="E19" i="107"/>
  <c r="BU75" i="74" s="1"/>
  <c r="E19" i="106"/>
  <c r="E18" i="106" s="1"/>
  <c r="E21" i="106" l="1"/>
  <c r="CD129" i="74"/>
  <c r="CD59" i="74"/>
  <c r="BU129" i="74"/>
  <c r="BU59" i="74"/>
  <c r="BL129" i="74"/>
  <c r="BL59" i="74"/>
  <c r="E36" i="108"/>
  <c r="E36" i="107"/>
  <c r="G34" i="107" l="1"/>
  <c r="F34" i="107"/>
  <c r="E34" i="107"/>
  <c r="F32" i="107"/>
  <c r="F28" i="106"/>
  <c r="F35" i="106"/>
  <c r="F33" i="106" s="1"/>
  <c r="F67" i="96"/>
  <c r="F66" i="96"/>
  <c r="F65" i="96"/>
  <c r="N64" i="96"/>
  <c r="M64" i="96"/>
  <c r="M58" i="96" s="1"/>
  <c r="L64" i="96"/>
  <c r="K64" i="96"/>
  <c r="J64" i="96"/>
  <c r="I64" i="96"/>
  <c r="I58" i="96" s="1"/>
  <c r="H64" i="96"/>
  <c r="G64" i="96"/>
  <c r="G58" i="96" s="1"/>
  <c r="F63" i="96"/>
  <c r="F62" i="96"/>
  <c r="F61" i="96"/>
  <c r="N59" i="96"/>
  <c r="F59" i="96" s="1"/>
  <c r="J58" i="96"/>
  <c r="F57" i="96"/>
  <c r="F56" i="96"/>
  <c r="F55" i="96"/>
  <c r="F54" i="96"/>
  <c r="N53" i="96"/>
  <c r="M53" i="96"/>
  <c r="L53" i="96"/>
  <c r="K53" i="96"/>
  <c r="J53" i="96"/>
  <c r="I53" i="96"/>
  <c r="H53" i="96"/>
  <c r="G53" i="96"/>
  <c r="F51" i="96"/>
  <c r="F50" i="96"/>
  <c r="F49" i="96"/>
  <c r="F48" i="96"/>
  <c r="F46" i="96" s="1"/>
  <c r="F47" i="96"/>
  <c r="N46" i="96"/>
  <c r="M46" i="96"/>
  <c r="L46" i="96"/>
  <c r="K46" i="96"/>
  <c r="J46" i="96"/>
  <c r="I46" i="96"/>
  <c r="H46" i="96"/>
  <c r="G46" i="96"/>
  <c r="F45" i="96"/>
  <c r="F44" i="96"/>
  <c r="F43" i="96"/>
  <c r="N42" i="96"/>
  <c r="M42" i="96"/>
  <c r="L42" i="96"/>
  <c r="K42" i="96"/>
  <c r="J42" i="96"/>
  <c r="I42" i="96"/>
  <c r="H42" i="96"/>
  <c r="G42" i="96"/>
  <c r="F40" i="96"/>
  <c r="F39" i="96"/>
  <c r="F38" i="96"/>
  <c r="F37" i="96"/>
  <c r="F36" i="96"/>
  <c r="F35" i="96"/>
  <c r="F34" i="96"/>
  <c r="N33" i="96"/>
  <c r="M33" i="96"/>
  <c r="L33" i="96"/>
  <c r="K33" i="96"/>
  <c r="J33" i="96"/>
  <c r="I33" i="96"/>
  <c r="H33" i="96"/>
  <c r="G33" i="96"/>
  <c r="F32" i="96"/>
  <c r="F31" i="96"/>
  <c r="F30" i="96"/>
  <c r="F29" i="96"/>
  <c r="F28" i="96"/>
  <c r="F27" i="96"/>
  <c r="N26" i="96"/>
  <c r="M26" i="96"/>
  <c r="L26" i="96"/>
  <c r="K26" i="96"/>
  <c r="J26" i="96"/>
  <c r="I26" i="96"/>
  <c r="G26" i="96"/>
  <c r="F25" i="96"/>
  <c r="F24" i="96"/>
  <c r="F23" i="96"/>
  <c r="N22" i="96"/>
  <c r="N19" i="96" s="1"/>
  <c r="M22" i="96"/>
  <c r="L22" i="96"/>
  <c r="L19" i="96" s="1"/>
  <c r="K22" i="96"/>
  <c r="K19" i="96" s="1"/>
  <c r="J22" i="96"/>
  <c r="J19" i="96" s="1"/>
  <c r="I22" i="96"/>
  <c r="H22" i="96"/>
  <c r="H19" i="96" s="1"/>
  <c r="G22" i="96"/>
  <c r="F22" i="96"/>
  <c r="F21" i="96"/>
  <c r="F20" i="96"/>
  <c r="M19" i="96"/>
  <c r="I19" i="96"/>
  <c r="F18" i="96"/>
  <c r="N17" i="96"/>
  <c r="N13" i="96" s="1"/>
  <c r="M17" i="96"/>
  <c r="M13" i="96" s="1"/>
  <c r="L17" i="96"/>
  <c r="L13" i="96" s="1"/>
  <c r="K17" i="96"/>
  <c r="J17" i="96"/>
  <c r="J13" i="96" s="1"/>
  <c r="I17" i="96"/>
  <c r="H17" i="96"/>
  <c r="G17" i="96"/>
  <c r="F16" i="96"/>
  <c r="F15" i="96"/>
  <c r="F14" i="96"/>
  <c r="K13" i="96"/>
  <c r="I13" i="96"/>
  <c r="H13" i="96"/>
  <c r="G13" i="96"/>
  <c r="CD34" i="74"/>
  <c r="BU34" i="74"/>
  <c r="F42" i="96" l="1"/>
  <c r="N58" i="96"/>
  <c r="F26" i="96"/>
  <c r="F53" i="96"/>
  <c r="G19" i="96"/>
  <c r="F17" i="96"/>
  <c r="F33" i="96"/>
  <c r="F19" i="96" s="1"/>
  <c r="F13" i="96"/>
  <c r="J52" i="96"/>
  <c r="J12" i="96" s="1"/>
  <c r="N52" i="96"/>
  <c r="N12" i="96" s="1"/>
  <c r="I52" i="96"/>
  <c r="I12" i="96" s="1"/>
  <c r="M52" i="96"/>
  <c r="M12" i="96" s="1"/>
  <c r="F27" i="106"/>
  <c r="F64" i="96"/>
  <c r="G52" i="96"/>
  <c r="G12" i="96" l="1"/>
  <c r="F67" i="109"/>
  <c r="F66" i="109"/>
  <c r="F65" i="109"/>
  <c r="N64" i="109"/>
  <c r="M64" i="109"/>
  <c r="M58" i="109" s="1"/>
  <c r="L64" i="109"/>
  <c r="L58" i="109" s="1"/>
  <c r="K64" i="109"/>
  <c r="J64" i="109"/>
  <c r="J58" i="109" s="1"/>
  <c r="I64" i="109"/>
  <c r="H64" i="109"/>
  <c r="H58" i="109" s="1"/>
  <c r="G64" i="109"/>
  <c r="G58" i="109" s="1"/>
  <c r="F63" i="109"/>
  <c r="F62" i="109"/>
  <c r="F61" i="109"/>
  <c r="N59" i="109"/>
  <c r="F59" i="109" s="1"/>
  <c r="I58" i="109"/>
  <c r="F57" i="109"/>
  <c r="F56" i="109"/>
  <c r="F55" i="109"/>
  <c r="F54" i="109"/>
  <c r="N53" i="109"/>
  <c r="M53" i="109"/>
  <c r="L53" i="109"/>
  <c r="K53" i="109"/>
  <c r="J53" i="109"/>
  <c r="I53" i="109"/>
  <c r="H53" i="109"/>
  <c r="G53" i="109"/>
  <c r="F51" i="109"/>
  <c r="F50" i="109"/>
  <c r="F49" i="109"/>
  <c r="F48" i="109"/>
  <c r="F47" i="109"/>
  <c r="N46" i="109"/>
  <c r="M46" i="109"/>
  <c r="L46" i="109"/>
  <c r="K46" i="109"/>
  <c r="J46" i="109"/>
  <c r="I46" i="109"/>
  <c r="H46" i="109"/>
  <c r="G46" i="109"/>
  <c r="F45" i="109"/>
  <c r="F44" i="109"/>
  <c r="F43" i="109"/>
  <c r="N42" i="109"/>
  <c r="M42" i="109"/>
  <c r="L42" i="109"/>
  <c r="K42" i="109"/>
  <c r="J42" i="109"/>
  <c r="I42" i="109"/>
  <c r="H42" i="109"/>
  <c r="G42" i="109"/>
  <c r="F41" i="109"/>
  <c r="F40" i="109"/>
  <c r="F39" i="109"/>
  <c r="F38" i="109"/>
  <c r="F37" i="109"/>
  <c r="F36" i="109"/>
  <c r="F35" i="109"/>
  <c r="F34" i="109"/>
  <c r="N33" i="109"/>
  <c r="M33" i="109"/>
  <c r="L33" i="109"/>
  <c r="K33" i="109"/>
  <c r="J33" i="109"/>
  <c r="I33" i="109"/>
  <c r="H33" i="109"/>
  <c r="G33" i="109"/>
  <c r="F32" i="109"/>
  <c r="F31" i="109"/>
  <c r="F30" i="109"/>
  <c r="F29" i="109"/>
  <c r="F28" i="109"/>
  <c r="F27" i="109"/>
  <c r="N26" i="109"/>
  <c r="M26" i="109"/>
  <c r="L26" i="109"/>
  <c r="K26" i="109"/>
  <c r="J26" i="109"/>
  <c r="I26" i="109"/>
  <c r="H26" i="109"/>
  <c r="G26" i="109"/>
  <c r="F25" i="109"/>
  <c r="F24" i="109"/>
  <c r="F23" i="109"/>
  <c r="N22" i="109"/>
  <c r="M22" i="109"/>
  <c r="L22" i="109"/>
  <c r="K22" i="109"/>
  <c r="J22" i="109"/>
  <c r="I22" i="109"/>
  <c r="H22" i="109"/>
  <c r="G22" i="109"/>
  <c r="F21" i="109"/>
  <c r="F20" i="109"/>
  <c r="F18" i="109"/>
  <c r="N17" i="109"/>
  <c r="N13" i="109" s="1"/>
  <c r="M17" i="109"/>
  <c r="M13" i="109" s="1"/>
  <c r="L17" i="109"/>
  <c r="L13" i="109" s="1"/>
  <c r="K17" i="109"/>
  <c r="J17" i="109"/>
  <c r="J13" i="109" s="1"/>
  <c r="I17" i="109"/>
  <c r="I13" i="109" s="1"/>
  <c r="H17" i="109"/>
  <c r="G17" i="109"/>
  <c r="F16" i="109"/>
  <c r="F15" i="109"/>
  <c r="F14" i="109"/>
  <c r="K13" i="109"/>
  <c r="G13" i="109"/>
  <c r="I52" i="109" l="1"/>
  <c r="F64" i="109"/>
  <c r="H52" i="109"/>
  <c r="L52" i="109"/>
  <c r="J19" i="109"/>
  <c r="K19" i="109"/>
  <c r="M52" i="109"/>
  <c r="F33" i="109"/>
  <c r="J52" i="109"/>
  <c r="J12" i="109" s="1"/>
  <c r="F22" i="109"/>
  <c r="G19" i="109"/>
  <c r="F26" i="109"/>
  <c r="F17" i="109"/>
  <c r="N58" i="109"/>
  <c r="N52" i="109" s="1"/>
  <c r="F42" i="109"/>
  <c r="F46" i="109"/>
  <c r="F53" i="109"/>
  <c r="L19" i="109"/>
  <c r="M19" i="109"/>
  <c r="M12" i="109" s="1"/>
  <c r="I19" i="109"/>
  <c r="I12" i="109" s="1"/>
  <c r="N19" i="109"/>
  <c r="G52" i="109"/>
  <c r="H13" i="109"/>
  <c r="H19" i="109"/>
  <c r="L12" i="109" l="1"/>
  <c r="G12" i="109"/>
  <c r="F19" i="109"/>
  <c r="N12" i="109"/>
  <c r="H12" i="109"/>
  <c r="F13" i="109"/>
  <c r="F69" i="100"/>
  <c r="G66" i="100"/>
  <c r="G60" i="100" s="1"/>
  <c r="F67" i="100"/>
  <c r="Q66" i="100"/>
  <c r="P66" i="100"/>
  <c r="O66" i="100"/>
  <c r="O60" i="100" s="1"/>
  <c r="N66" i="100"/>
  <c r="N60" i="100" s="1"/>
  <c r="M66" i="100"/>
  <c r="M60" i="100" s="1"/>
  <c r="L66" i="100"/>
  <c r="L60" i="100" s="1"/>
  <c r="K66" i="100"/>
  <c r="K60" i="100" s="1"/>
  <c r="J66" i="100"/>
  <c r="J60" i="100" s="1"/>
  <c r="I66" i="100"/>
  <c r="H66" i="100"/>
  <c r="F65" i="100"/>
  <c r="F64" i="100"/>
  <c r="F63" i="100"/>
  <c r="Q61" i="100"/>
  <c r="F61" i="100" s="1"/>
  <c r="Q60" i="100"/>
  <c r="P60" i="100"/>
  <c r="I60" i="100"/>
  <c r="H60" i="100"/>
  <c r="F59" i="100"/>
  <c r="F58" i="100"/>
  <c r="F57" i="100"/>
  <c r="F56" i="100"/>
  <c r="Q55" i="100"/>
  <c r="P55" i="100"/>
  <c r="O55" i="100"/>
  <c r="N55" i="100"/>
  <c r="M55" i="100"/>
  <c r="L55" i="100"/>
  <c r="K55" i="100"/>
  <c r="J55" i="100"/>
  <c r="I55" i="100"/>
  <c r="H55" i="100"/>
  <c r="G55" i="100"/>
  <c r="F53" i="100"/>
  <c r="F52" i="100"/>
  <c r="F51" i="100"/>
  <c r="F50" i="100"/>
  <c r="F49" i="100"/>
  <c r="Q48" i="100"/>
  <c r="P48" i="100"/>
  <c r="O48" i="100"/>
  <c r="N48" i="100"/>
  <c r="M48" i="100"/>
  <c r="L48" i="100"/>
  <c r="K48" i="100"/>
  <c r="J48" i="100"/>
  <c r="I48" i="100"/>
  <c r="H48" i="100"/>
  <c r="G48" i="100"/>
  <c r="F47" i="100"/>
  <c r="F46" i="100"/>
  <c r="F45" i="100"/>
  <c r="Q44" i="100"/>
  <c r="P44" i="100"/>
  <c r="O44" i="100"/>
  <c r="N44" i="100"/>
  <c r="M44" i="100"/>
  <c r="L44" i="100"/>
  <c r="K44" i="100"/>
  <c r="J44" i="100"/>
  <c r="I44" i="100"/>
  <c r="H44" i="100"/>
  <c r="F43" i="100"/>
  <c r="F42" i="100"/>
  <c r="F41" i="100"/>
  <c r="F40" i="100"/>
  <c r="F39" i="100"/>
  <c r="F38" i="100"/>
  <c r="F37" i="100"/>
  <c r="F36" i="100"/>
  <c r="Q35" i="100"/>
  <c r="P35" i="100"/>
  <c r="O35" i="100"/>
  <c r="N35" i="100"/>
  <c r="M35" i="100"/>
  <c r="L35" i="100"/>
  <c r="K35" i="100"/>
  <c r="J35" i="100"/>
  <c r="I35" i="100"/>
  <c r="H35" i="100"/>
  <c r="G35" i="100"/>
  <c r="F34" i="100"/>
  <c r="F33" i="100"/>
  <c r="F32" i="100"/>
  <c r="F31" i="100"/>
  <c r="F30" i="100"/>
  <c r="F29" i="100"/>
  <c r="Q28" i="100"/>
  <c r="P28" i="100"/>
  <c r="O28" i="100"/>
  <c r="N28" i="100"/>
  <c r="M28" i="100"/>
  <c r="L28" i="100"/>
  <c r="K28" i="100"/>
  <c r="J28" i="100"/>
  <c r="I28" i="100"/>
  <c r="H28" i="100"/>
  <c r="F27" i="100"/>
  <c r="F25" i="100"/>
  <c r="F24" i="100"/>
  <c r="Q23" i="100"/>
  <c r="P23" i="100"/>
  <c r="O23" i="100"/>
  <c r="N23" i="100"/>
  <c r="M23" i="100"/>
  <c r="L23" i="100"/>
  <c r="K23" i="100"/>
  <c r="K20" i="100" s="1"/>
  <c r="J23" i="100"/>
  <c r="I23" i="100"/>
  <c r="H23" i="100"/>
  <c r="G23" i="100"/>
  <c r="F22" i="100"/>
  <c r="F21" i="100"/>
  <c r="P20" i="100"/>
  <c r="O20" i="100"/>
  <c r="L20" i="100"/>
  <c r="H20" i="100"/>
  <c r="F19" i="100"/>
  <c r="Q18" i="100"/>
  <c r="P18" i="100"/>
  <c r="O18" i="100"/>
  <c r="N18" i="100"/>
  <c r="N14" i="100" s="1"/>
  <c r="M18" i="100"/>
  <c r="L18" i="100"/>
  <c r="K18" i="100"/>
  <c r="J18" i="100"/>
  <c r="J14" i="100" s="1"/>
  <c r="I18" i="100"/>
  <c r="H18" i="100"/>
  <c r="G18" i="100"/>
  <c r="F17" i="100"/>
  <c r="H14" i="100"/>
  <c r="F15" i="100"/>
  <c r="Q14" i="100"/>
  <c r="P14" i="100"/>
  <c r="O14" i="100"/>
  <c r="M14" i="100"/>
  <c r="L14" i="100"/>
  <c r="K14" i="100"/>
  <c r="I14" i="100"/>
  <c r="F55" i="100" l="1"/>
  <c r="F60" i="100"/>
  <c r="F35" i="100"/>
  <c r="I20" i="100"/>
  <c r="J20" i="100"/>
  <c r="M20" i="100"/>
  <c r="N20" i="100"/>
  <c r="Q20" i="100"/>
  <c r="Q13" i="100" s="1"/>
  <c r="F28" i="100"/>
  <c r="I54" i="100"/>
  <c r="P54" i="100"/>
  <c r="P13" i="100" s="1"/>
  <c r="Q54" i="100"/>
  <c r="J54" i="100"/>
  <c r="K54" i="100"/>
  <c r="K13" i="100" s="1"/>
  <c r="L54" i="100"/>
  <c r="L13" i="100" s="1"/>
  <c r="M54" i="100"/>
  <c r="N54" i="100"/>
  <c r="O54" i="100"/>
  <c r="O13" i="100" s="1"/>
  <c r="F23" i="100"/>
  <c r="G54" i="100"/>
  <c r="H54" i="100"/>
  <c r="H13" i="100" s="1"/>
  <c r="F18" i="100"/>
  <c r="J13" i="100"/>
  <c r="M13" i="100"/>
  <c r="F48" i="100"/>
  <c r="G14" i="100"/>
  <c r="F16" i="100"/>
  <c r="BL80" i="74" s="1"/>
  <c r="G28" i="100"/>
  <c r="G20" i="100" s="1"/>
  <c r="G44" i="100"/>
  <c r="F44" i="100" s="1"/>
  <c r="F68" i="100"/>
  <c r="F66" i="100" s="1"/>
  <c r="CD153" i="74"/>
  <c r="BU153" i="74"/>
  <c r="BL153" i="74"/>
  <c r="CM145" i="74"/>
  <c r="CD145" i="74"/>
  <c r="BU145" i="74"/>
  <c r="BL145" i="74"/>
  <c r="I13" i="100" l="1"/>
  <c r="F54" i="100"/>
  <c r="F70" i="100" s="1"/>
  <c r="F20" i="100"/>
  <c r="N13" i="100"/>
  <c r="G13" i="100"/>
  <c r="F14" i="100"/>
  <c r="F13" i="100" l="1"/>
  <c r="BL36" i="74" s="1"/>
  <c r="CM131" i="74"/>
  <c r="CM124" i="74" s="1"/>
  <c r="CM43" i="74" l="1"/>
  <c r="CM44" i="74" s="1"/>
  <c r="CM48" i="74" s="1"/>
  <c r="G34" i="108" l="1"/>
  <c r="G32" i="108" s="1"/>
  <c r="R34" i="108"/>
  <c r="Q34" i="108"/>
  <c r="P34" i="108"/>
  <c r="O34" i="108"/>
  <c r="O32" i="108" s="1"/>
  <c r="N34" i="108"/>
  <c r="N32" i="108" s="1"/>
  <c r="M34" i="108"/>
  <c r="L34" i="108"/>
  <c r="L32" i="108" s="1"/>
  <c r="K34" i="108"/>
  <c r="K32" i="108" s="1"/>
  <c r="J34" i="108"/>
  <c r="H34" i="108"/>
  <c r="F34" i="108"/>
  <c r="F32" i="108" s="1"/>
  <c r="E34" i="108"/>
  <c r="R32" i="108"/>
  <c r="Q32" i="108"/>
  <c r="P32" i="108"/>
  <c r="M32" i="108"/>
  <c r="J32" i="108"/>
  <c r="H32" i="108"/>
  <c r="O27" i="108"/>
  <c r="N27" i="108"/>
  <c r="R27" i="108"/>
  <c r="R26" i="108" s="1"/>
  <c r="Q27" i="108"/>
  <c r="Q26" i="108" s="1"/>
  <c r="P27" i="108"/>
  <c r="M27" i="108"/>
  <c r="L27" i="108"/>
  <c r="K27" i="108"/>
  <c r="J27" i="108"/>
  <c r="H27" i="108"/>
  <c r="G27" i="108"/>
  <c r="F27" i="108"/>
  <c r="J26" i="108"/>
  <c r="R24" i="108"/>
  <c r="Q24" i="108"/>
  <c r="P24" i="108"/>
  <c r="O24" i="108"/>
  <c r="N24" i="108"/>
  <c r="M24" i="108"/>
  <c r="L24" i="108"/>
  <c r="J24" i="108"/>
  <c r="E20" i="108"/>
  <c r="R20" i="108"/>
  <c r="Q20" i="108"/>
  <c r="P20" i="108"/>
  <c r="O20" i="108"/>
  <c r="N20" i="108"/>
  <c r="M20" i="108"/>
  <c r="K20" i="108"/>
  <c r="J20" i="108"/>
  <c r="H20" i="108"/>
  <c r="G20" i="108"/>
  <c r="F20" i="108"/>
  <c r="Q18" i="108"/>
  <c r="P18" i="108"/>
  <c r="O18" i="108"/>
  <c r="N18" i="108"/>
  <c r="M18" i="108"/>
  <c r="L18" i="108"/>
  <c r="K18" i="108"/>
  <c r="J18" i="108"/>
  <c r="J14" i="108" s="1"/>
  <c r="H18" i="108"/>
  <c r="G18" i="108"/>
  <c r="F18" i="108"/>
  <c r="V70" i="103"/>
  <c r="U70" i="103"/>
  <c r="V65" i="103"/>
  <c r="U64" i="103"/>
  <c r="V59" i="103"/>
  <c r="U59" i="103"/>
  <c r="V48" i="103"/>
  <c r="V46" i="103" s="1"/>
  <c r="U48" i="103"/>
  <c r="U46" i="103" s="1"/>
  <c r="CD76" i="74"/>
  <c r="V36" i="103"/>
  <c r="U36" i="103"/>
  <c r="V29" i="103"/>
  <c r="U29" i="103"/>
  <c r="V24" i="103"/>
  <c r="U24" i="103"/>
  <c r="U20" i="103" s="1"/>
  <c r="CD134" i="74"/>
  <c r="V20" i="103"/>
  <c r="V18" i="103"/>
  <c r="U18" i="103"/>
  <c r="U14" i="103" s="1"/>
  <c r="V14" i="103"/>
  <c r="CD92" i="74"/>
  <c r="BU92" i="74"/>
  <c r="BL92" i="74"/>
  <c r="M26" i="108" l="1"/>
  <c r="L26" i="108"/>
  <c r="V64" i="103"/>
  <c r="L14" i="108"/>
  <c r="P26" i="108"/>
  <c r="P14" i="108" s="1"/>
  <c r="U58" i="103"/>
  <c r="U13" i="103" s="1"/>
  <c r="M14" i="108"/>
  <c r="Q14" i="108"/>
  <c r="H26" i="108"/>
  <c r="N26" i="108"/>
  <c r="N14" i="108" s="1"/>
  <c r="CD133" i="74"/>
  <c r="V58" i="103"/>
  <c r="V13" i="103" s="1"/>
  <c r="H24" i="108"/>
  <c r="H14" i="108" s="1"/>
  <c r="F26" i="108"/>
  <c r="K26" i="108"/>
  <c r="E32" i="108"/>
  <c r="E27" i="108"/>
  <c r="CD78" i="74"/>
  <c r="CD106" i="74"/>
  <c r="CD136" i="74"/>
  <c r="E18" i="108"/>
  <c r="O26" i="108"/>
  <c r="O14" i="108" s="1"/>
  <c r="G26" i="108"/>
  <c r="K24" i="108"/>
  <c r="K14" i="108" s="1"/>
  <c r="R18" i="108"/>
  <c r="R14" i="108" s="1"/>
  <c r="G24" i="108"/>
  <c r="L20" i="108"/>
  <c r="G14" i="108" l="1"/>
  <c r="E26" i="108"/>
  <c r="CD140" i="74"/>
  <c r="CD71" i="74"/>
  <c r="F74" i="103"/>
  <c r="E24" i="108"/>
  <c r="CD137" i="74" s="1"/>
  <c r="F24" i="108"/>
  <c r="F14" i="108" s="1"/>
  <c r="E14" i="108" s="1"/>
  <c r="CD57" i="74" s="1"/>
  <c r="Q34" i="107"/>
  <c r="Q32" i="107" s="1"/>
  <c r="P34" i="107"/>
  <c r="P32" i="107" s="1"/>
  <c r="O34" i="107"/>
  <c r="O32" i="107" s="1"/>
  <c r="N34" i="107"/>
  <c r="N32" i="107" s="1"/>
  <c r="M34" i="107"/>
  <c r="M32" i="107" s="1"/>
  <c r="M26" i="107" s="1"/>
  <c r="L34" i="107"/>
  <c r="L32" i="107" s="1"/>
  <c r="K34" i="107"/>
  <c r="K32" i="107" s="1"/>
  <c r="J34" i="107"/>
  <c r="J32" i="107" s="1"/>
  <c r="I34" i="107"/>
  <c r="I32" i="107" s="1"/>
  <c r="H34" i="107"/>
  <c r="H32" i="107" s="1"/>
  <c r="N27" i="107"/>
  <c r="Q27" i="107"/>
  <c r="P27" i="107"/>
  <c r="O27" i="107"/>
  <c r="M27" i="107"/>
  <c r="L27" i="107"/>
  <c r="K27" i="107"/>
  <c r="J27" i="107"/>
  <c r="I27" i="107"/>
  <c r="H27" i="107"/>
  <c r="G27" i="107"/>
  <c r="F27" i="107"/>
  <c r="Q24" i="107"/>
  <c r="P24" i="107"/>
  <c r="O24" i="107"/>
  <c r="N24" i="107"/>
  <c r="M24" i="107"/>
  <c r="L24" i="107"/>
  <c r="K24" i="107"/>
  <c r="L20" i="107"/>
  <c r="Q20" i="107"/>
  <c r="P20" i="107"/>
  <c r="O20" i="107"/>
  <c r="N20" i="107"/>
  <c r="K20" i="107"/>
  <c r="J20" i="107"/>
  <c r="I20" i="107"/>
  <c r="H20" i="107"/>
  <c r="G20" i="107"/>
  <c r="F20" i="107"/>
  <c r="Q18" i="107"/>
  <c r="P18" i="107"/>
  <c r="O18" i="107"/>
  <c r="N18" i="107"/>
  <c r="M18" i="107"/>
  <c r="L18" i="107"/>
  <c r="K18" i="107"/>
  <c r="J18" i="107"/>
  <c r="I18" i="107"/>
  <c r="H18" i="107"/>
  <c r="G18" i="107"/>
  <c r="F18" i="107"/>
  <c r="BU76" i="74"/>
  <c r="BU134" i="74"/>
  <c r="I26" i="107" l="1"/>
  <c r="J26" i="107"/>
  <c r="Q26" i="107"/>
  <c r="Q14" i="107" s="1"/>
  <c r="I24" i="107"/>
  <c r="E38" i="108"/>
  <c r="CV37" i="95" s="1"/>
  <c r="CV31" i="95"/>
  <c r="J24" i="107"/>
  <c r="E24" i="107" s="1"/>
  <c r="BU137" i="74" s="1"/>
  <c r="P26" i="107"/>
  <c r="P14" i="107" s="1"/>
  <c r="BU133" i="74"/>
  <c r="H24" i="107"/>
  <c r="K26" i="107"/>
  <c r="K14" i="107" s="1"/>
  <c r="O26" i="107"/>
  <c r="O14" i="107" s="1"/>
  <c r="E27" i="107"/>
  <c r="BU106" i="74"/>
  <c r="H26" i="107"/>
  <c r="G32" i="107"/>
  <c r="F26" i="107"/>
  <c r="E18" i="107"/>
  <c r="N26" i="107"/>
  <c r="N14" i="107" s="1"/>
  <c r="E20" i="107"/>
  <c r="BU136" i="74" s="1"/>
  <c r="BU78" i="74"/>
  <c r="G24" i="107"/>
  <c r="M20" i="107"/>
  <c r="M14" i="107" s="1"/>
  <c r="L26" i="107"/>
  <c r="L14" i="107" s="1"/>
  <c r="BU140" i="74"/>
  <c r="F24" i="107"/>
  <c r="I14" i="107" l="1"/>
  <c r="F14" i="107"/>
  <c r="H14" i="107"/>
  <c r="J14" i="107"/>
  <c r="CD56" i="74"/>
  <c r="G26" i="107"/>
  <c r="G14" i="107" s="1"/>
  <c r="E32" i="107"/>
  <c r="E26" i="107" s="1"/>
  <c r="E38" i="107" s="1"/>
  <c r="BU71" i="74"/>
  <c r="E26" i="104"/>
  <c r="F26" i="104" s="1"/>
  <c r="H58" i="96" s="1"/>
  <c r="H52" i="96" s="1"/>
  <c r="H12" i="96" s="1"/>
  <c r="BL61" i="74" s="1"/>
  <c r="E15" i="104"/>
  <c r="F15" i="104" s="1"/>
  <c r="E8" i="104"/>
  <c r="F8" i="104" s="1"/>
  <c r="K60" i="96" s="1"/>
  <c r="E14" i="107" l="1"/>
  <c r="BU57" i="74" s="1"/>
  <c r="CN31" i="95"/>
  <c r="CN37" i="95"/>
  <c r="K58" i="96"/>
  <c r="K52" i="96" s="1"/>
  <c r="K12" i="96" s="1"/>
  <c r="BL48" i="74" s="1"/>
  <c r="F60" i="96"/>
  <c r="F58" i="96" s="1"/>
  <c r="L58" i="96"/>
  <c r="L52" i="96" s="1"/>
  <c r="L12" i="96" s="1"/>
  <c r="BL60" i="74" s="1"/>
  <c r="N35" i="106"/>
  <c r="N33" i="106" s="1"/>
  <c r="H35" i="106"/>
  <c r="H33" i="106" s="1"/>
  <c r="N28" i="106"/>
  <c r="H28" i="106"/>
  <c r="N21" i="106"/>
  <c r="H21" i="106"/>
  <c r="G28" i="106"/>
  <c r="G21" i="106"/>
  <c r="V28" i="106"/>
  <c r="U28" i="106"/>
  <c r="T28" i="106"/>
  <c r="R28" i="106"/>
  <c r="Q28" i="106"/>
  <c r="P28" i="106"/>
  <c r="O28" i="106"/>
  <c r="F21" i="106"/>
  <c r="S28" i="106"/>
  <c r="Q21" i="106"/>
  <c r="V21" i="106"/>
  <c r="U21" i="106"/>
  <c r="T21" i="106"/>
  <c r="S21" i="106"/>
  <c r="R21" i="106"/>
  <c r="P21" i="106"/>
  <c r="O35" i="106"/>
  <c r="O33" i="106" s="1"/>
  <c r="V35" i="106"/>
  <c r="V33" i="106" s="1"/>
  <c r="U35" i="106"/>
  <c r="U33" i="106" s="1"/>
  <c r="T35" i="106"/>
  <c r="T33" i="106" s="1"/>
  <c r="S35" i="106"/>
  <c r="S33" i="106" s="1"/>
  <c r="R35" i="106"/>
  <c r="R33" i="106" s="1"/>
  <c r="Q35" i="106"/>
  <c r="Q33" i="106" s="1"/>
  <c r="P35" i="106"/>
  <c r="P33" i="106" s="1"/>
  <c r="V25" i="106"/>
  <c r="U25" i="106"/>
  <c r="T25" i="106"/>
  <c r="S25" i="106"/>
  <c r="I14" i="106" s="1"/>
  <c r="R25" i="106"/>
  <c r="Q25" i="106"/>
  <c r="E28" i="106" l="1"/>
  <c r="BU56" i="74"/>
  <c r="BU131" i="74"/>
  <c r="BU124" i="74" s="1"/>
  <c r="CD131" i="74"/>
  <c r="CD124" i="74" s="1"/>
  <c r="H27" i="106"/>
  <c r="N27" i="106"/>
  <c r="N14" i="106" s="1"/>
  <c r="F16" i="106"/>
  <c r="F17" i="106"/>
  <c r="G17" i="106"/>
  <c r="G16" i="106"/>
  <c r="N17" i="106"/>
  <c r="N16" i="106"/>
  <c r="S15" i="106"/>
  <c r="E37" i="106"/>
  <c r="E35" i="106" s="1"/>
  <c r="G35" i="106"/>
  <c r="G33" i="106" s="1"/>
  <c r="F60" i="109"/>
  <c r="F58" i="109" s="1"/>
  <c r="F52" i="109" s="1"/>
  <c r="K58" i="109"/>
  <c r="K52" i="109" s="1"/>
  <c r="K12" i="109" s="1"/>
  <c r="F52" i="96"/>
  <c r="F12" i="96" s="1"/>
  <c r="R27" i="106"/>
  <c r="R14" i="106" s="1"/>
  <c r="P27" i="106"/>
  <c r="S27" i="106"/>
  <c r="S14" i="106" s="1"/>
  <c r="T27" i="106"/>
  <c r="T14" i="106" s="1"/>
  <c r="V27" i="106"/>
  <c r="U27" i="106"/>
  <c r="U14" i="106" s="1"/>
  <c r="P25" i="106"/>
  <c r="E25" i="106" s="1"/>
  <c r="Q27" i="106"/>
  <c r="Q14" i="106" s="1"/>
  <c r="O21" i="106"/>
  <c r="N15" i="106" l="1"/>
  <c r="P14" i="106"/>
  <c r="H14" i="106"/>
  <c r="Q15" i="106"/>
  <c r="F15" i="106"/>
  <c r="P15" i="106"/>
  <c r="R15" i="106"/>
  <c r="G15" i="106"/>
  <c r="U15" i="106"/>
  <c r="T15" i="106"/>
  <c r="E16" i="106"/>
  <c r="E17" i="106"/>
  <c r="E33" i="106"/>
  <c r="E27" i="106" s="1"/>
  <c r="G27" i="106"/>
  <c r="V14" i="106"/>
  <c r="F68" i="96"/>
  <c r="F12" i="109"/>
  <c r="BL35" i="74" s="1"/>
  <c r="BL34" i="74" s="1"/>
  <c r="F68" i="109"/>
  <c r="CV9" i="95"/>
  <c r="CV63" i="95" s="1"/>
  <c r="G14" i="106"/>
  <c r="O27" i="106"/>
  <c r="CN9" i="95" l="1"/>
  <c r="CN62" i="95" s="1"/>
  <c r="BU70" i="74"/>
  <c r="E15" i="106"/>
  <c r="CV53" i="95"/>
  <c r="CV52" i="95" s="1"/>
  <c r="CV28" i="95" s="1"/>
  <c r="CV58" i="95" s="1"/>
  <c r="CF52" i="95"/>
  <c r="CN53" i="95"/>
  <c r="CN52" i="95" s="1"/>
  <c r="CN28" i="95" s="1"/>
  <c r="CN58" i="95" s="1"/>
  <c r="BU48" i="74"/>
  <c r="BU43" i="74" s="1"/>
  <c r="BU38" i="74" s="1"/>
  <c r="CD48" i="74"/>
  <c r="CD43" i="74" s="1"/>
  <c r="CD38" i="74" s="1"/>
  <c r="CD70" i="74"/>
  <c r="E39" i="106"/>
  <c r="F14" i="106"/>
  <c r="O14" i="106"/>
  <c r="E14" i="106" l="1"/>
  <c r="BU37" i="74"/>
  <c r="CD37" i="74"/>
  <c r="CF37" i="95"/>
  <c r="S64" i="84"/>
  <c r="Q64" i="84"/>
  <c r="P64" i="84"/>
  <c r="O64" i="84"/>
  <c r="H64" i="84"/>
  <c r="F71" i="84"/>
  <c r="F67" i="84"/>
  <c r="O59" i="84"/>
  <c r="F62" i="84"/>
  <c r="F63" i="84"/>
  <c r="F61" i="84"/>
  <c r="F60" i="84"/>
  <c r="T59" i="84"/>
  <c r="S59" i="84"/>
  <c r="Q59" i="84"/>
  <c r="P59" i="84"/>
  <c r="H59" i="84"/>
  <c r="F49" i="84"/>
  <c r="BL73" i="74" s="1"/>
  <c r="T51" i="84"/>
  <c r="Q51" i="84"/>
  <c r="P51" i="84"/>
  <c r="O51" i="84"/>
  <c r="H51" i="84"/>
  <c r="S58" i="84" l="1"/>
  <c r="G51" i="84"/>
  <c r="G59" i="84"/>
  <c r="F59" i="84" s="1"/>
  <c r="BL140" i="74" s="1"/>
  <c r="O58" i="84"/>
  <c r="Q58" i="84"/>
  <c r="P58" i="84"/>
  <c r="H58" i="84"/>
  <c r="T48" i="84"/>
  <c r="T46" i="84" s="1"/>
  <c r="S48" i="84"/>
  <c r="S46" i="84" s="1"/>
  <c r="Q48" i="84"/>
  <c r="P48" i="84"/>
  <c r="O48" i="84"/>
  <c r="H48" i="84"/>
  <c r="G48" i="84"/>
  <c r="F50" i="84"/>
  <c r="T36" i="84"/>
  <c r="T20" i="84" s="1"/>
  <c r="S36" i="84"/>
  <c r="S20" i="84" s="1"/>
  <c r="Q36" i="84"/>
  <c r="Q20" i="84" s="1"/>
  <c r="P36" i="84"/>
  <c r="P20" i="84" s="1"/>
  <c r="O36" i="84"/>
  <c r="O20" i="84" s="1"/>
  <c r="H36" i="84"/>
  <c r="H20" i="84" s="1"/>
  <c r="F43" i="84"/>
  <c r="F39" i="84"/>
  <c r="BL76" i="74" s="1"/>
  <c r="BL75" i="74" l="1"/>
  <c r="F36" i="84"/>
  <c r="G58" i="84"/>
  <c r="F48" i="84"/>
  <c r="T29" i="84"/>
  <c r="S29" i="84"/>
  <c r="Q29" i="84"/>
  <c r="P29" i="84"/>
  <c r="O29" i="84"/>
  <c r="H29" i="84"/>
  <c r="G29" i="84" l="1"/>
  <c r="G20" i="84" s="1"/>
  <c r="F23" i="84"/>
  <c r="BL134" i="74" s="1"/>
  <c r="F21" i="84"/>
  <c r="F17" i="84"/>
  <c r="BL82" i="74" s="1"/>
  <c r="T18" i="84"/>
  <c r="T14" i="84" s="1"/>
  <c r="S18" i="84"/>
  <c r="S14" i="84" s="1"/>
  <c r="Q18" i="84"/>
  <c r="Q14" i="84" s="1"/>
  <c r="P18" i="84"/>
  <c r="P14" i="84" s="1"/>
  <c r="O18" i="84"/>
  <c r="O14" i="84" s="1"/>
  <c r="H18" i="84"/>
  <c r="H14" i="84" s="1"/>
  <c r="G18" i="84"/>
  <c r="BL133" i="74" l="1"/>
  <c r="BL78" i="74"/>
  <c r="F18" i="84"/>
  <c r="G14" i="84"/>
  <c r="F14" i="84" s="1"/>
  <c r="F19" i="84"/>
  <c r="F66" i="84" l="1"/>
  <c r="F72" i="84" l="1"/>
  <c r="S51" i="84" l="1"/>
  <c r="S24" i="84" l="1"/>
  <c r="S13" i="84" s="1"/>
  <c r="T64" i="84" l="1"/>
  <c r="T58" i="84" s="1"/>
  <c r="F52" i="84" l="1"/>
  <c r="BL107" i="74" s="1"/>
  <c r="F73" i="84" l="1"/>
  <c r="F70" i="84" s="1"/>
  <c r="F69" i="84"/>
  <c r="F68" i="84"/>
  <c r="F65" i="84"/>
  <c r="F57" i="84"/>
  <c r="F56" i="84"/>
  <c r="F54" i="84"/>
  <c r="BL109" i="74" s="1"/>
  <c r="F42" i="84"/>
  <c r="F41" i="84"/>
  <c r="BL137" i="74" s="1"/>
  <c r="F38" i="84"/>
  <c r="F37" i="84"/>
  <c r="F35" i="84"/>
  <c r="F34" i="84"/>
  <c r="F33" i="84"/>
  <c r="F32" i="84"/>
  <c r="F31" i="84"/>
  <c r="F30" i="84"/>
  <c r="F28" i="84"/>
  <c r="F26" i="84"/>
  <c r="F25" i="84"/>
  <c r="T24" i="84"/>
  <c r="T13" i="84" s="1"/>
  <c r="BL57" i="74" l="1"/>
  <c r="BL56" i="74" s="1"/>
  <c r="BL71" i="74"/>
  <c r="BL111" i="74"/>
  <c r="BL106" i="74" s="1"/>
  <c r="F24" i="84"/>
  <c r="F64" i="84"/>
  <c r="BL141" i="74" s="1"/>
  <c r="F51" i="84"/>
  <c r="F29" i="84"/>
  <c r="BL136" i="74" s="1"/>
  <c r="BL131" i="74" l="1"/>
  <c r="BL124" i="74" s="1"/>
  <c r="F20" i="84"/>
  <c r="F58" i="84"/>
  <c r="F74" i="84" s="1"/>
  <c r="CF31" i="95" l="1"/>
  <c r="F13" i="84"/>
  <c r="BL44" i="74" s="1"/>
  <c r="BL43" i="74" s="1"/>
  <c r="BL38" i="74" s="1"/>
  <c r="CF9" i="95"/>
  <c r="CF61" i="95" s="1"/>
  <c r="Q24" i="84"/>
  <c r="Q13" i="84" s="1"/>
  <c r="P24" i="84"/>
  <c r="P13" i="84" s="1"/>
  <c r="O24" i="84"/>
  <c r="O13" i="84" s="1"/>
  <c r="H24" i="84"/>
  <c r="H13" i="84" s="1"/>
  <c r="G13" i="84"/>
  <c r="CF28" i="95" l="1"/>
  <c r="BL70" i="74"/>
  <c r="BL37" i="74" s="1"/>
  <c r="CF58" i="95" l="1"/>
</calcChain>
</file>

<file path=xl/comments1.xml><?xml version="1.0" encoding="utf-8"?>
<comments xmlns="http://schemas.openxmlformats.org/spreadsheetml/2006/main">
  <authors>
    <author>RePack by Diakov</author>
  </authors>
  <commentList>
    <comment ref="BL109" authorId="0" shapeId="0">
      <text>
        <r>
          <rPr>
            <b/>
            <sz val="9"/>
            <color indexed="81"/>
            <rFont val="Tahoma"/>
            <family val="2"/>
            <charset val="204"/>
          </rPr>
          <t>RePack by Diakov:</t>
        </r>
        <r>
          <rPr>
            <sz val="9"/>
            <color indexed="81"/>
            <rFont val="Tahoma"/>
            <family val="2"/>
            <charset val="204"/>
          </rPr>
          <t xml:space="preserve">
</t>
        </r>
      </text>
    </comment>
    <comment ref="BU136" authorId="0" shapeId="0">
      <text>
        <r>
          <rPr>
            <b/>
            <sz val="9"/>
            <color indexed="81"/>
            <rFont val="Tahoma"/>
            <family val="2"/>
            <charset val="204"/>
          </rPr>
          <t>RePack by Diakov:</t>
        </r>
        <r>
          <rPr>
            <sz val="9"/>
            <color indexed="81"/>
            <rFont val="Tahoma"/>
            <family val="2"/>
            <charset val="204"/>
          </rPr>
          <t xml:space="preserve">
ё</t>
        </r>
      </text>
    </comment>
  </commentList>
</comments>
</file>

<file path=xl/sharedStrings.xml><?xml version="1.0" encoding="utf-8"?>
<sst xmlns="http://schemas.openxmlformats.org/spreadsheetml/2006/main" count="3933" uniqueCount="730">
  <si>
    <t>Услуги связи</t>
  </si>
  <si>
    <t>Продукты питания</t>
  </si>
  <si>
    <t>в том числе:</t>
  </si>
  <si>
    <t>Медикаменты и перевязочные средства</t>
  </si>
  <si>
    <t>из них:</t>
  </si>
  <si>
    <t>Оплата услуг по горячему и холодному водоснабжению</t>
  </si>
  <si>
    <t>Компьютерная техника, оргтехника</t>
  </si>
  <si>
    <t>Бытовая техника, мебель</t>
  </si>
  <si>
    <t>Другие расходы на увеличение стоимости основных средств</t>
  </si>
  <si>
    <t>Дата</t>
  </si>
  <si>
    <t>Наименование показателя</t>
  </si>
  <si>
    <t>КОСГУ</t>
  </si>
  <si>
    <t>Прочие выплаты</t>
  </si>
  <si>
    <t>Увеличение стоимости основных средств</t>
  </si>
  <si>
    <t>Увеличение стоимости материальных запасов</t>
  </si>
  <si>
    <t>Расходы - всего</t>
  </si>
  <si>
    <t>Выплаты по заработной плате, оплата отпусков, другие выплаты</t>
  </si>
  <si>
    <t xml:space="preserve">Начисления на выплаты по оплате труда </t>
  </si>
  <si>
    <t>213</t>
  </si>
  <si>
    <t xml:space="preserve">Коммунальные услуги </t>
  </si>
  <si>
    <t>Оплата услуг по отоплению</t>
  </si>
  <si>
    <t>Оплата услуг по предоставлению электроэнергии</t>
  </si>
  <si>
    <t xml:space="preserve">Другие расходы по содержанию имущества  </t>
  </si>
  <si>
    <t>Вневедомственная охрана</t>
  </si>
  <si>
    <t>Услуги в области информационных технологий</t>
  </si>
  <si>
    <t>Другие расходы по прочим работам, услугам</t>
  </si>
  <si>
    <t>340</t>
  </si>
  <si>
    <t xml:space="preserve">Горюче-смазочные материалы </t>
  </si>
  <si>
    <t xml:space="preserve">Мягкий инвентарь </t>
  </si>
  <si>
    <t>Другие расходы на увеличение стоимости материальных запасов</t>
  </si>
  <si>
    <t>М.А.Суханова</t>
  </si>
  <si>
    <t>ПРОЧИЕ РАСХОДЫ</t>
  </si>
  <si>
    <t>единицы измерения: в рублях</t>
  </si>
  <si>
    <t>Монтаж и установка ЛВС, ОС и ПС</t>
  </si>
  <si>
    <t>ВСЕГО (ВИД РАСХОДОВ - 611)</t>
  </si>
  <si>
    <t>КОД ЦЕЛЕВОЙ СУБСИДИИ</t>
  </si>
  <si>
    <t>Ведущий экономист:</t>
  </si>
  <si>
    <t>(расшифровка подписи)</t>
  </si>
  <si>
    <t>ГЛАВНЫЙ РАСПОРЯДИТЕЛЬ БЮДЖЕТНЫХ СРЕДСТВ, РАЗДЕЛ, ПОДРАЗДЕЛ, ЦЕЛЕВАЯ СТАТЬЯ, ВИД РАСХОДОВ</t>
  </si>
  <si>
    <t>01 2001</t>
  </si>
  <si>
    <t>01 2004</t>
  </si>
  <si>
    <t>01 2005</t>
  </si>
  <si>
    <t>01 2006</t>
  </si>
  <si>
    <t>06 2015</t>
  </si>
  <si>
    <t>07 2008</t>
  </si>
  <si>
    <t>(подпись)</t>
  </si>
  <si>
    <t>х</t>
  </si>
  <si>
    <t>111</t>
  </si>
  <si>
    <t>119</t>
  </si>
  <si>
    <t>244</t>
  </si>
  <si>
    <t>112</t>
  </si>
  <si>
    <t>851</t>
  </si>
  <si>
    <t>852</t>
  </si>
  <si>
    <t>853</t>
  </si>
  <si>
    <t>Содержание в чистоте помещений, зданий</t>
  </si>
  <si>
    <t>Ремонт (текущий, капитальный)</t>
  </si>
  <si>
    <t>Противопожарные мероприятия</t>
  </si>
  <si>
    <t>Обеспечение функционирования и поддержка МС, ПАК, ВТ</t>
  </si>
  <si>
    <t>Ремонт оборудования</t>
  </si>
  <si>
    <t>212</t>
  </si>
  <si>
    <t>222</t>
  </si>
  <si>
    <t>310</t>
  </si>
  <si>
    <t>КЭК</t>
  </si>
  <si>
    <t>243</t>
  </si>
  <si>
    <t>01 0002</t>
  </si>
  <si>
    <t xml:space="preserve"> 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</si>
  <si>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</si>
  <si>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 xml:space="preserve"> Формирование здорового образоа жизни детей и подростков</t>
  </si>
  <si>
    <t>Формирование условий, обеспечивающих соответствие образовательных организаций современными требованиями</t>
  </si>
  <si>
    <t>223</t>
  </si>
  <si>
    <r>
      <t xml:space="preserve">Расходы бюджета Кольского района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r>
    <r>
      <rPr>
        <b/>
        <sz val="12"/>
        <color rgb="FFFF0000"/>
        <rFont val="Arial"/>
        <family val="2"/>
        <charset val="204"/>
      </rPr>
      <t>(СОФИНАНСИРОВАНИЕ МОЛОКО)</t>
    </r>
  </si>
  <si>
    <r>
      <t xml:space="preserve">Расходы бюджета Кольского района на организацию отдыха детей Мурманской области в оздоровительных учреждениях с дневным пребыванием, организованных на базе муниципальных учреждений </t>
    </r>
    <r>
      <rPr>
        <b/>
        <sz val="12"/>
        <color rgb="FFFF0000"/>
        <rFont val="Arial"/>
        <family val="2"/>
        <charset val="204"/>
      </rPr>
      <t>(ЛАГЕРЬ)</t>
    </r>
  </si>
  <si>
    <r>
      <t xml:space="preserve">Расходы бюджета Кольского района на организацию отдыха детей Мурманской области в оздоровительных учреждениях с дневным пребыванием, организованных на базе муниципальных учреждений </t>
    </r>
    <r>
      <rPr>
        <b/>
        <sz val="12"/>
        <color rgb="FFFF0000"/>
        <rFont val="Arial"/>
        <family val="2"/>
        <charset val="204"/>
      </rPr>
      <t>(СОФИНАНСИРОВАНИЕ ЛОЛ)</t>
    </r>
  </si>
  <si>
    <r>
      <t xml:space="preserve">СУБВЕНЦИЯ                               на обеспечение бесплатным питанием отдельных категорий обучающихся </t>
    </r>
    <r>
      <rPr>
        <b/>
        <sz val="12"/>
        <color rgb="FFFF0000"/>
        <rFont val="Arial"/>
        <family val="2"/>
        <charset val="204"/>
      </rPr>
      <t>БЕСПЛАТНОЕ ПИТАНИЕ</t>
    </r>
  </si>
  <si>
    <r>
      <t xml:space="preserve">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r>
    <r>
      <rPr>
        <b/>
        <sz val="12"/>
        <color rgb="FFFF0000"/>
        <rFont val="Arial"/>
        <family val="2"/>
        <charset val="204"/>
      </rPr>
      <t>(МОЛОКО)</t>
    </r>
  </si>
  <si>
    <r>
      <t xml:space="preserve">СУБСИДИЯ                               на организацию отдыха детей Мурманской области в оздоровительных учреждениях с дневным пребыванием, организованных на базе муниципальных учреждений </t>
    </r>
    <r>
      <rPr>
        <b/>
        <sz val="12"/>
        <color rgb="FFFF0000"/>
        <rFont val="Arial"/>
        <family val="2"/>
        <charset val="204"/>
      </rPr>
      <t>(ПИТАНИЕ ЛОЛ)</t>
    </r>
  </si>
  <si>
    <t>Субсидия на софинансирование капитальных и текущих ремонтов учреждений образования</t>
  </si>
  <si>
    <t>Питание школьников за счет родительских средств</t>
  </si>
  <si>
    <t>Питание школьников за счет родительских средств (БУФЕТ)</t>
  </si>
  <si>
    <t>01 S07802</t>
  </si>
  <si>
    <r>
      <t xml:space="preserve">Муниципальная программа 1 "Развитие образования в Кольском районе Мурманской области»
на 2015 - 2020 годы, постановление администрации Кольского района от 28.12.2018 № 1510                                                                                                 </t>
    </r>
    <r>
      <rPr>
        <b/>
        <sz val="14"/>
        <color indexed="10"/>
        <rFont val="Arial"/>
        <family val="2"/>
        <charset val="204"/>
      </rPr>
      <t>СУБСИДИИ БЮДЖЕТНЫМ УЧРЕЖДЕНИЯМ НА ИНЫЕ ЦЕЛИ</t>
    </r>
  </si>
  <si>
    <r>
      <t xml:space="preserve">Субсидия на проведение капитальных и текущих ремонтов учреждений образования </t>
    </r>
    <r>
      <rPr>
        <b/>
        <sz val="14"/>
        <color rgb="FFC00000"/>
        <rFont val="Arial"/>
        <family val="2"/>
        <charset val="204"/>
      </rPr>
      <t>(ОБЛАСТНОЙ БЮДЖЕТ)</t>
    </r>
  </si>
  <si>
    <t>341</t>
  </si>
  <si>
    <t>342</t>
  </si>
  <si>
    <t>343</t>
  </si>
  <si>
    <t>345</t>
  </si>
  <si>
    <t>346</t>
  </si>
  <si>
    <t>349</t>
  </si>
  <si>
    <t xml:space="preserve">Расходы однократного применения (грамоты, благодарности) </t>
  </si>
  <si>
    <t>Вид расходов</t>
  </si>
  <si>
    <t>211</t>
  </si>
  <si>
    <t>266</t>
  </si>
  <si>
    <t>ПРИОБРЕТЕНИЕ УСЛУГ</t>
  </si>
  <si>
    <t>Транспортные расходы</t>
  </si>
  <si>
    <t>ОПЛАТА ТРУДА и НАЧИСЛЕНИЕ НА ОПЛАТУ ТРУДА</t>
  </si>
  <si>
    <t>Доп.класс</t>
  </si>
  <si>
    <t>11 03 2</t>
  </si>
  <si>
    <t>13 03 2</t>
  </si>
  <si>
    <t>Меры социальной поддержки пед.работников</t>
  </si>
  <si>
    <t>18 03 2</t>
  </si>
  <si>
    <t>16 03 2</t>
  </si>
  <si>
    <t xml:space="preserve">003 0702 0140175320 </t>
  </si>
  <si>
    <t>14 03 2</t>
  </si>
  <si>
    <t>Услуги по содержанию имущества</t>
  </si>
  <si>
    <t>225</t>
  </si>
  <si>
    <t xml:space="preserve">003 0702 0140171040 </t>
  </si>
  <si>
    <t xml:space="preserve">003 0702 01201S1040 </t>
  </si>
  <si>
    <t xml:space="preserve">003 0707 0120120030 </t>
  </si>
  <si>
    <t xml:space="preserve">003 0707 01201S1070 </t>
  </si>
  <si>
    <t>Прочие услуги</t>
  </si>
  <si>
    <t>226</t>
  </si>
  <si>
    <r>
      <rPr>
        <b/>
        <sz val="12"/>
        <color rgb="FFFF0000"/>
        <rFont val="Arial"/>
        <family val="2"/>
        <charset val="204"/>
      </rPr>
      <t>Командировочные расходы</t>
    </r>
    <r>
      <rPr>
        <sz val="12"/>
        <rFont val="Arial"/>
        <family val="2"/>
        <charset val="204"/>
      </rPr>
      <t xml:space="preserve"> (питание,проживание сотрудников)</t>
    </r>
  </si>
  <si>
    <r>
      <rPr>
        <b/>
        <i/>
        <sz val="12"/>
        <color rgb="FFFF0000"/>
        <rFont val="Arial"/>
        <family val="2"/>
        <charset val="204"/>
      </rPr>
      <t>Командировочные расходы</t>
    </r>
    <r>
      <rPr>
        <i/>
        <sz val="12"/>
        <rFont val="Arial"/>
        <family val="2"/>
        <charset val="204"/>
      </rPr>
      <t xml:space="preserve"> (суточные)</t>
    </r>
  </si>
  <si>
    <t>221</t>
  </si>
  <si>
    <r>
      <rPr>
        <b/>
        <sz val="12"/>
        <color rgb="FFFF0000"/>
        <rFont val="Arial"/>
        <family val="2"/>
        <charset val="204"/>
      </rPr>
      <t>Командировочные расходы</t>
    </r>
    <r>
      <rPr>
        <sz val="12"/>
        <rFont val="Arial"/>
        <family val="2"/>
        <charset val="204"/>
      </rPr>
      <t xml:space="preserve"> (питание,проживание учащихся)</t>
    </r>
  </si>
  <si>
    <t>113</t>
  </si>
  <si>
    <r>
      <rPr>
        <b/>
        <sz val="12"/>
        <color rgb="FFFF0000"/>
        <rFont val="Arial"/>
        <family val="2"/>
        <charset val="204"/>
      </rPr>
      <t>Командировочные расходы</t>
    </r>
    <r>
      <rPr>
        <sz val="12"/>
        <rFont val="Arial"/>
        <family val="2"/>
        <charset val="204"/>
      </rPr>
      <t xml:space="preserve"> (служебные разъезды,проживание сотрудников)</t>
    </r>
  </si>
  <si>
    <r>
      <rPr>
        <b/>
        <sz val="12"/>
        <color rgb="FFFF0000"/>
        <rFont val="Arial"/>
        <family val="2"/>
        <charset val="204"/>
      </rPr>
      <t>Авансовый отчет</t>
    </r>
    <r>
      <rPr>
        <sz val="12"/>
        <rFont val="Arial"/>
        <family val="2"/>
        <charset val="204"/>
      </rPr>
      <t xml:space="preserve"> (возмещение расходов на прохождение медосмотров)</t>
    </r>
  </si>
  <si>
    <r>
      <t xml:space="preserve">Социальные выплаты </t>
    </r>
    <r>
      <rPr>
        <b/>
        <sz val="12"/>
        <color rgb="FFFF0000"/>
        <rFont val="Arial"/>
        <family val="2"/>
        <charset val="204"/>
      </rPr>
      <t>(оплата б/листа за счет работодаталя)</t>
    </r>
  </si>
  <si>
    <r>
      <t xml:space="preserve">Социальные выплаты </t>
    </r>
    <r>
      <rPr>
        <b/>
        <sz val="12"/>
        <color rgb="FFFF0000"/>
        <rFont val="Arial"/>
        <family val="2"/>
        <charset val="204"/>
      </rPr>
      <t>(пособие по уходу за ребенком до 3-х лет)</t>
    </r>
  </si>
  <si>
    <r>
      <t xml:space="preserve">Социальные выплаты </t>
    </r>
    <r>
      <rPr>
        <b/>
        <sz val="12"/>
        <color rgb="FFFF0000"/>
        <rFont val="Arial"/>
        <family val="2"/>
        <charset val="204"/>
      </rPr>
      <t>(меры социальной поддержки пед.работников)</t>
    </r>
  </si>
  <si>
    <t>СОЦИАЛЬНЫЕ ПОСОБИЯ И КОМПЕНСАЦИИ</t>
  </si>
  <si>
    <t>Налоги, пошлины,сборы</t>
  </si>
  <si>
    <t>291</t>
  </si>
  <si>
    <t>Госпошлины</t>
  </si>
  <si>
    <t>Штрафы за нарушение законодательства о налогах и сборах, страховых взносах.</t>
  </si>
  <si>
    <t>Штрафы за нарушение законодательства о закупках и нарушении условий контрактов (договоров)</t>
  </si>
  <si>
    <t>292</t>
  </si>
  <si>
    <t>293</t>
  </si>
  <si>
    <t>295</t>
  </si>
  <si>
    <t>Другие экономич.санкции (Штраф Роспотребнадзора, ГИБДД и т.д.)</t>
  </si>
  <si>
    <t>ПОСТУПЛЕНИЕ НЕФИНАНСОВЫХ АКТИВОВ</t>
  </si>
  <si>
    <t>Учебная литература</t>
  </si>
  <si>
    <t>17 03 2</t>
  </si>
  <si>
    <r>
      <t xml:space="preserve">Продукты питания </t>
    </r>
    <r>
      <rPr>
        <b/>
        <sz val="12"/>
        <color rgb="FFFF0000"/>
        <rFont val="Arial"/>
        <family val="2"/>
        <charset val="204"/>
      </rPr>
      <t>(ДОУ)</t>
    </r>
  </si>
  <si>
    <t>19 03 2</t>
  </si>
  <si>
    <t>Строительные материалы</t>
  </si>
  <si>
    <t>344</t>
  </si>
  <si>
    <t>Материальные запасы(хоз.товары, канц.товары)</t>
  </si>
  <si>
    <t xml:space="preserve"> 0702 0140100070 </t>
  </si>
  <si>
    <r>
      <t xml:space="preserve">СУБВЕНЦИЯ                    на реализацию Закона Мурманской области "О региональных нормативах финансового обеспечения образовательной деятельности в Мурманской области" </t>
    </r>
    <r>
      <rPr>
        <b/>
        <sz val="16"/>
        <color indexed="10"/>
        <rFont val="Arial"/>
        <family val="2"/>
        <charset val="204"/>
      </rPr>
      <t>ГОССТАНДАРТ</t>
    </r>
  </si>
  <si>
    <r>
      <t xml:space="preserve">СУБСИДИИ бюджетным учреждениям на финансовое обеспечение гос.(муниципального) задания на оказание гос.(муниципальных)услуг (выполнение работ) </t>
    </r>
    <r>
      <rPr>
        <b/>
        <sz val="16"/>
        <color indexed="10"/>
        <rFont val="Arial"/>
        <family val="2"/>
        <charset val="204"/>
      </rPr>
      <t>МУНИЦИПАЛЬНЫЙ БЮДЖЕТ</t>
    </r>
  </si>
  <si>
    <t xml:space="preserve">0702 0140175310 </t>
  </si>
  <si>
    <t>ДОПЛАТА до МРОТ</t>
  </si>
  <si>
    <t>0702 0140171100</t>
  </si>
  <si>
    <t>0702 01401S1100</t>
  </si>
  <si>
    <t>МУНИЦИПАЛЬНЫЙ БЮДЖЕТ</t>
  </si>
  <si>
    <t>СОФИНАНСИРОВАНИЕ МЕСТНЫЙ БЮДЖЕТ</t>
  </si>
  <si>
    <t xml:space="preserve"> 0709 0600120150 </t>
  </si>
  <si>
    <t xml:space="preserve"> 0709 0720120080 </t>
  </si>
  <si>
    <t xml:space="preserve"> 0709 0110120040 </t>
  </si>
  <si>
    <t xml:space="preserve"> 0709 0110370780 </t>
  </si>
  <si>
    <t>707802-20</t>
  </si>
  <si>
    <t>0709 01103S0780</t>
  </si>
  <si>
    <t>Субсидия на содержание материально-технической базы</t>
  </si>
  <si>
    <t>20 - Е07</t>
  </si>
  <si>
    <t xml:space="preserve">0709 0110220050 </t>
  </si>
  <si>
    <t xml:space="preserve"> 0709 0110320060 </t>
  </si>
  <si>
    <t xml:space="preserve"> 0702 0130113060 </t>
  </si>
  <si>
    <t>0702 011Е151690</t>
  </si>
  <si>
    <t>Льготный проезд в отпуск</t>
  </si>
  <si>
    <t>ВСЕГО РАСХОДОВ:</t>
  </si>
  <si>
    <t>ИТОГО РАСХОДЫ:</t>
  </si>
  <si>
    <t xml:space="preserve">0709 0110120010 </t>
  </si>
  <si>
    <t xml:space="preserve">Муниципальная программа 6 "Развитие гражданского общества" на 2017-2020 годы, постановление администрации Кольского района от 09.11.2018 № 1206               </t>
  </si>
  <si>
    <t xml:space="preserve">Муниципальная программа 7 "Развитие транспортной системы"
на 2017 - 2020 гг., постановление администрации Кольского района от 22.12.2016 № 940 </t>
  </si>
  <si>
    <t xml:space="preserve">Муниципальная программа 14 "Молодеж Кольского района" на 2017-2020 годы               </t>
  </si>
  <si>
    <t>Утверждаю</t>
  </si>
  <si>
    <t>«</t>
  </si>
  <si>
    <t>»</t>
  </si>
  <si>
    <t xml:space="preserve"> г.</t>
  </si>
  <si>
    <t>План финансово-хозяйственной деятельности на 20</t>
  </si>
  <si>
    <t>г.</t>
  </si>
  <si>
    <t>(на 20</t>
  </si>
  <si>
    <t>г. и плановый период 20</t>
  </si>
  <si>
    <t>и 20</t>
  </si>
  <si>
    <t>КОДЫ</t>
  </si>
  <si>
    <t>от «</t>
  </si>
  <si>
    <t>Орган, осуществляющий</t>
  </si>
  <si>
    <t>по Сводному реестру</t>
  </si>
  <si>
    <t>функции и полномочия учредителя</t>
  </si>
  <si>
    <t>глава по БК</t>
  </si>
  <si>
    <t>ИНН</t>
  </si>
  <si>
    <t>КПП</t>
  </si>
  <si>
    <t>Единица измерения: руб.</t>
  </si>
  <si>
    <t>по ОКЕИ</t>
  </si>
  <si>
    <t>383</t>
  </si>
  <si>
    <t>Раздел 1. Поступления и выплаты</t>
  </si>
  <si>
    <t>Код</t>
  </si>
  <si>
    <t>Код по</t>
  </si>
  <si>
    <t>Аналити-</t>
  </si>
  <si>
    <t>Сумма</t>
  </si>
  <si>
    <t>строки</t>
  </si>
  <si>
    <t>бюджетной</t>
  </si>
  <si>
    <t>ческий</t>
  </si>
  <si>
    <t>за пре-</t>
  </si>
  <si>
    <t>класси-</t>
  </si>
  <si>
    <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</si>
  <si>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</si>
  <si>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</si>
  <si>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</si>
  <si>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</si>
  <si>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</si>
  <si>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</si>
  <si>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</si>
  <si>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</si>
  <si>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</si>
  <si>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</si>
  <si>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</si>
  <si>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family val="1"/>
        <charset val="204"/>
      </rPr>
      <t>3</t>
    </r>
  </si>
  <si>
    <t>0001</t>
  </si>
  <si>
    <t>0002</t>
  </si>
  <si>
    <t>Доходы, всего:</t>
  </si>
  <si>
    <t>1000</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</si>
  <si>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</si>
  <si>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</si>
  <si>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</si>
  <si>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</si>
  <si>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</si>
  <si>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</si>
  <si>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</si>
  <si>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</si>
  <si>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</si>
  <si>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</si>
  <si>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</si>
  <si>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</si>
  <si>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</si>
  <si>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</si>
  <si>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</si>
  <si>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</si>
  <si>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</si>
  <si>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целевые субсидии</t>
  </si>
  <si>
    <t>субсидии на осуществление капитальных вложений</t>
  </si>
  <si>
    <t>доходы от операций с активами, всего</t>
  </si>
  <si>
    <t>1900</t>
  </si>
  <si>
    <t>1980</t>
  </si>
  <si>
    <t>1981</t>
  </si>
  <si>
    <t>510</t>
  </si>
  <si>
    <t>увеличение остатков денежных средств за счет возврата дебиторской</t>
  </si>
  <si>
    <t>задолженности прошлых лет</t>
  </si>
  <si>
    <t>Расходы, всего:</t>
  </si>
  <si>
    <t>2000</t>
  </si>
  <si>
    <t>2100</t>
  </si>
  <si>
    <t>на выплаты персоналу, всего</t>
  </si>
  <si>
    <t>2110</t>
  </si>
  <si>
    <t>оплата труда</t>
  </si>
  <si>
    <t>прочие выплаты персоналу, в том числе компенсационного характера</t>
  </si>
  <si>
    <t>2120</t>
  </si>
  <si>
    <t>иные выплаты, за исключением фонда оплаты труда учреждения,</t>
  </si>
  <si>
    <t>2130</t>
  </si>
  <si>
    <t>для выполнения отдельных полномочий</t>
  </si>
  <si>
    <t>взносы по обязательному социальному страхованию на выплаты по оплате</t>
  </si>
  <si>
    <t>2140</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</si>
  <si>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</si>
  <si>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</si>
  <si>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</si>
  <si>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</si>
  <si>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</si>
  <si>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t>
  </si>
  <si>
    <t>2150</t>
  </si>
  <si>
    <t>131</t>
  </si>
  <si>
    <t>специальные звания</t>
  </si>
  <si>
    <t>иные выплаты военнослужащим и сотрудникам, имеющим</t>
  </si>
  <si>
    <t>2160</t>
  </si>
  <si>
    <t>134</t>
  </si>
  <si>
    <t>страховые взносы на обязательное социальное страхование в части выплат</t>
  </si>
  <si>
    <t>2170</t>
  </si>
  <si>
    <t>139</t>
  </si>
  <si>
    <t>персоналу, подлежащих обложению страховыми взносами</t>
  </si>
  <si>
    <t>2171</t>
  </si>
  <si>
    <t>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</si>
  <si>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</si>
  <si>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</si>
  <si>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</si>
  <si>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</si>
  <si>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</si>
  <si>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</si>
  <si>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</si>
  <si>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</si>
  <si>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</si>
  <si>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</si>
  <si>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</si>
  <si>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</si>
  <si>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</si>
  <si>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</si>
  <si>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</si>
  <si>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</si>
  <si>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</si>
  <si>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</si>
  <si>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</si>
  <si>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</si>
  <si>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</si>
  <si>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</si>
  <si>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</si>
  <si>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</si>
  <si>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</si>
  <si>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</si>
  <si>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</si>
  <si>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</si>
  <si>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2310</t>
  </si>
  <si>
    <t>налог на имущество организаций и земельный налог</t>
  </si>
  <si>
    <t>иные налоги (включаемые в состав расходов) в бюджеты бюджетной системы</t>
  </si>
  <si>
    <t>2320</t>
  </si>
  <si>
    <t>Российской Федерации, а также государственная пошлина</t>
  </si>
  <si>
    <t>уплата штрафов (в том числе административных), пеней, иных платежей</t>
  </si>
  <si>
    <t>2330</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</si>
  <si>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</si>
  <si>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</si>
  <si>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</si>
  <si>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</si>
  <si>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</si>
  <si>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</si>
  <si>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</si>
  <si>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</si>
  <si>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</si>
  <si>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</si>
  <si>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</si>
  <si>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</si>
  <si>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</si>
  <si>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</si>
  <si>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</si>
  <si>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</si>
  <si>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</si>
  <si>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</si>
  <si>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</si>
  <si>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</si>
  <si>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</si>
  <si>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</si>
  <si>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</si>
  <si>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</si>
  <si>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</si>
  <si>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</si>
  <si>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</si>
  <si>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(муниципального) имущества</t>
  </si>
  <si>
    <t>прочую закупку товаров, работ и услуг, всего</t>
  </si>
  <si>
    <t>2640</t>
  </si>
  <si>
    <t>капитальные вложения в объекты государственной (муниципальной)</t>
  </si>
  <si>
    <t>2650</t>
  </si>
  <si>
    <t>400</t>
  </si>
  <si>
    <t>собственности, всего</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</si>
  <si>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</si>
  <si>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</si>
  <si>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</si>
  <si>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</si>
  <si>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407</t>
  </si>
  <si>
    <t>государственными (муниципальными) учреждениями</t>
  </si>
  <si>
    <t>3000</t>
  </si>
  <si>
    <t>100</t>
  </si>
  <si>
    <t>3010</t>
  </si>
  <si>
    <t>3020</t>
  </si>
  <si>
    <t>3030</t>
  </si>
  <si>
    <t>4000</t>
  </si>
  <si>
    <t>4010</t>
  </si>
  <si>
    <t>610</t>
  </si>
  <si>
    <t>возврат в бюджет средств субсидии</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</si>
  <si>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</si>
  <si>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</si>
  <si>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</si>
  <si>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</si>
  <si>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</si>
  <si>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</si>
  <si>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</si>
  <si>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</si>
  <si>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</si>
  <si>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</si>
  <si>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</si>
  <si>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</si>
  <si>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</si>
  <si>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340.02. "ПРОДУКТЫ ПИТАНИЯ"</t>
  </si>
  <si>
    <t>ВНЕБЮДЖЕТ</t>
  </si>
  <si>
    <t>Расчет расходов на питание школьников за счет родительских средств</t>
  </si>
  <si>
    <t>Образовательное учреждение</t>
  </si>
  <si>
    <t>Среднесписочная численность детей</t>
  </si>
  <si>
    <t>Стоимость питания в день (в руб.)</t>
  </si>
  <si>
    <t>Кол-во дней питания (функционирование)</t>
  </si>
  <si>
    <t>Кол-во дето - дней</t>
  </si>
  <si>
    <t>РАСХОДЫ ВСЕГО на питание в ГОД</t>
  </si>
  <si>
    <t>5 (2*4)</t>
  </si>
  <si>
    <t>8 (3*7)</t>
  </si>
  <si>
    <t>Расчет расходов на питание школьников за счет родительских средств (БУФЕТ)</t>
  </si>
  <si>
    <r>
      <t xml:space="preserve">Расчет расходов на организацию горячего питания по талонам Мурманского регионального отделения Общероссийской общестенной организации </t>
    </r>
    <r>
      <rPr>
        <b/>
        <i/>
        <sz val="14"/>
        <color rgb="FFFF0000"/>
        <rFont val="Arial Cyr"/>
        <charset val="204"/>
      </rPr>
      <t xml:space="preserve">"Российский </t>
    </r>
    <r>
      <rPr>
        <b/>
        <i/>
        <sz val="14"/>
        <color indexed="10"/>
        <rFont val="Arial Cyr"/>
        <charset val="204"/>
      </rPr>
      <t>Красный Крест"</t>
    </r>
  </si>
  <si>
    <t>№</t>
  </si>
  <si>
    <t>Коды</t>
  </si>
  <si>
    <t>Год</t>
  </si>
  <si>
    <t>строк</t>
  </si>
  <si>
    <t>начала</t>
  </si>
  <si>
    <t>закупки</t>
  </si>
  <si>
    <t>(текущий</t>
  </si>
  <si>
    <t>(первый год</t>
  </si>
  <si>
    <t>(второй год</t>
  </si>
  <si>
    <t>финансовый</t>
  </si>
  <si>
    <t>год)</t>
  </si>
  <si>
    <t>периода)</t>
  </si>
  <si>
    <t>1</t>
  </si>
  <si>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</si>
  <si>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</si>
  <si>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</si>
  <si>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</si>
  <si>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</si>
  <si>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</si>
  <si>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</si>
  <si>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</si>
  <si>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</si>
  <si>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</si>
  <si>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</si>
  <si>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</si>
  <si>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</si>
  <si>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</si>
  <si>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1.3.</t>
  </si>
  <si>
    <t>по контрактам (договорам), заключенным до начала текущего финансового года с уче-</t>
  </si>
  <si>
    <t>26300</t>
  </si>
  <si>
    <t>1.4.</t>
  </si>
  <si>
    <t>26400</t>
  </si>
  <si>
    <t>финансовом году с учетом требований Федерального закона № 44-ФЗ и Федерального</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</si>
  <si>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</si>
  <si>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</si>
  <si>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</si>
  <si>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</si>
  <si>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</si>
  <si>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</si>
  <si>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</si>
  <si>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</si>
  <si>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</si>
  <si>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</si>
  <si>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</si>
  <si>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</si>
  <si>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</si>
  <si>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</si>
  <si>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</si>
  <si>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</si>
  <si>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</si>
  <si>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</si>
  <si>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</si>
  <si>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</si>
  <si>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</si>
  <si>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</si>
  <si>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</si>
  <si>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</si>
  <si>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</si>
  <si>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</si>
  <si>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</si>
  <si>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</si>
  <si>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</si>
  <si>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</si>
  <si>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</si>
  <si>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</si>
  <si>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</si>
  <si>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</si>
  <si>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</si>
  <si>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</si>
  <si>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</si>
  <si>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</si>
  <si>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</si>
  <si>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</si>
  <si>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</si>
  <si>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</si>
  <si>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</si>
  <si>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</si>
  <si>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(фамилия, инициалы)</t>
  </si>
  <si>
    <t>(телефон)</t>
  </si>
  <si>
    <t>Исполнитель</t>
  </si>
  <si>
    <t>(должность)</t>
  </si>
  <si>
    <t>СОГЛАСОВАНО</t>
  </si>
  <si>
    <t>Управление образования администрации Кольского района</t>
  </si>
  <si>
    <r>
      <t>годов</t>
    </r>
    <r>
      <rPr>
        <b/>
        <vertAlign val="superscript"/>
        <sz val="16"/>
        <rFont val="Times New Roman"/>
        <family val="1"/>
        <charset val="204"/>
      </rPr>
      <t>1</t>
    </r>
    <r>
      <rPr>
        <b/>
        <sz val="16"/>
        <rFont val="Times New Roman"/>
        <family val="1"/>
        <charset val="204"/>
      </rPr>
      <t>)</t>
    </r>
  </si>
  <si>
    <r>
      <t xml:space="preserve"> г.</t>
    </r>
    <r>
      <rPr>
        <vertAlign val="superscript"/>
        <sz val="11"/>
        <rFont val="Times New Roman"/>
        <family val="1"/>
        <charset val="204"/>
      </rPr>
      <t>2</t>
    </r>
  </si>
  <si>
    <t>510501001</t>
  </si>
  <si>
    <t>003</t>
  </si>
  <si>
    <t>200</t>
  </si>
  <si>
    <t>210</t>
  </si>
  <si>
    <t>220</t>
  </si>
  <si>
    <t>услуги связи</t>
  </si>
  <si>
    <t>2641</t>
  </si>
  <si>
    <t>коммунальные услуги</t>
  </si>
  <si>
    <t>2642</t>
  </si>
  <si>
    <t xml:space="preserve">транспортные услуги </t>
  </si>
  <si>
    <t>2643</t>
  </si>
  <si>
    <t>расходы, услуги по содержанию имущества</t>
  </si>
  <si>
    <t>2644</t>
  </si>
  <si>
    <t>прочие услуги</t>
  </si>
  <si>
    <t>2645</t>
  </si>
  <si>
    <t>увеличение стоимости основных средств</t>
  </si>
  <si>
    <t>2646</t>
  </si>
  <si>
    <t>увеличение стоимости прочих материальных запасов</t>
  </si>
  <si>
    <t>152</t>
  </si>
  <si>
    <t>ЛАГЕРЬ РОДИТЕЛЬСКАЯ ПЛАТА</t>
  </si>
  <si>
    <t>8 (1553) - 3 - 33 - 70</t>
  </si>
  <si>
    <t>ВНЕБЮДЖЕТНЫЕ СРЕДСТВА</t>
  </si>
  <si>
    <t>Муниципальная программа 6 "Энергосбережение и повышение энергетической эффективности" на 2015-2020 годы, постановление администрации Кольского района от 05.09.2018 № 884</t>
  </si>
  <si>
    <t xml:space="preserve">8 (1553) - 3 - 64 -51 </t>
  </si>
  <si>
    <t>212,214,226,266</t>
  </si>
  <si>
    <t>214</t>
  </si>
  <si>
    <r>
      <t>Остаток средств на начало текущего финансового года</t>
    </r>
    <r>
      <rPr>
        <vertAlign val="superscript"/>
        <sz val="11"/>
        <rFont val="Times New Roman"/>
        <family val="1"/>
        <charset val="204"/>
      </rPr>
      <t>5</t>
    </r>
  </si>
  <si>
    <r>
      <t>Остаток средств на конец текущего финансового года</t>
    </r>
    <r>
      <rPr>
        <vertAlign val="superscript"/>
        <sz val="11"/>
        <rFont val="Times New Roman"/>
        <family val="1"/>
        <charset val="204"/>
      </rPr>
      <t>5</t>
    </r>
  </si>
  <si>
    <r>
      <t>Выплаты на закупку товаров, работ, услуг, всего</t>
    </r>
    <r>
      <rPr>
        <b/>
        <vertAlign val="superscript"/>
        <sz val="11"/>
        <rFont val="Times New Roman"/>
        <family val="1"/>
        <charset val="204"/>
      </rPr>
      <t>11</t>
    </r>
  </si>
  <si>
    <r>
      <t>в соответствии с Федеральным законом № 44-ФЗ, по соответствующему году закупки</t>
    </r>
    <r>
      <rPr>
        <vertAlign val="superscript"/>
        <sz val="11"/>
        <rFont val="Times New Roman"/>
        <family val="1"/>
        <charset val="204"/>
      </rPr>
      <t>16</t>
    </r>
  </si>
  <si>
    <t>поступления от оказания услуг (выполнения работ) на платной основе</t>
  </si>
  <si>
    <t>и от иной приносящей доход деятельности</t>
  </si>
  <si>
    <t xml:space="preserve">Для раздела 2 (243,244) </t>
  </si>
  <si>
    <t>СОЦИАЛЬНЫЕ ВЫПЛАТЫ</t>
  </si>
  <si>
    <t>Бесплатное питание школьников</t>
  </si>
  <si>
    <t>263</t>
  </si>
  <si>
    <t>1.3.1</t>
  </si>
  <si>
    <t>26310</t>
  </si>
  <si>
    <t>из них &lt;10/1&gt;</t>
  </si>
  <si>
    <t>26310.1</t>
  </si>
  <si>
    <t>1.3.2</t>
  </si>
  <si>
    <t>26320</t>
  </si>
  <si>
    <t>26421.1</t>
  </si>
  <si>
    <t>0110120010</t>
  </si>
  <si>
    <t>26421.2</t>
  </si>
  <si>
    <t>26430.1</t>
  </si>
  <si>
    <t>26451.1</t>
  </si>
  <si>
    <t>Налог на имущество</t>
  </si>
  <si>
    <t>Земельный налог</t>
  </si>
  <si>
    <t>неустойка (пени, штрафы), начисленные по учреждениям по договорам, контрактам</t>
  </si>
  <si>
    <t>141</t>
  </si>
  <si>
    <t>1410</t>
  </si>
  <si>
    <t>1420</t>
  </si>
  <si>
    <t>162</t>
  </si>
  <si>
    <t>1430</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</si>
  <si>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</si>
  <si>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 xml:space="preserve">0702 0110120010 </t>
  </si>
  <si>
    <t>в том числе: поступления от оказания услуг(выполнение работ) на платной основе и от иной приносящей доход деятельности</t>
  </si>
  <si>
    <t>в том числе: субсидии на финансовое обеспечение выполнения государственного (муниципального) задания за счет средств бюджета Колького района</t>
  </si>
  <si>
    <t>доходы от сдачи имущества в аренду</t>
  </si>
  <si>
    <t xml:space="preserve">(муниципального) задания за счет средств бюджета </t>
  </si>
  <si>
    <t>Кольского района</t>
  </si>
  <si>
    <t>1221</t>
  </si>
  <si>
    <t>платные услуги</t>
  </si>
  <si>
    <t>152,155</t>
  </si>
  <si>
    <t>из них:                                                                                                                                         гранты, предоставляемые учреждениям</t>
  </si>
  <si>
    <t>1431</t>
  </si>
  <si>
    <t>1910</t>
  </si>
  <si>
    <t>гарант,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</si>
  <si>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учреждений)</t>
  </si>
  <si>
    <t>634</t>
  </si>
  <si>
    <t xml:space="preserve">      гранты, предоставляемые другим организациям м физическим лицам</t>
  </si>
  <si>
    <t>2440</t>
  </si>
  <si>
    <t>613</t>
  </si>
  <si>
    <t>гранты, предоставляемые бюджетным учреждениям</t>
  </si>
  <si>
    <t>623</t>
  </si>
  <si>
    <t>Госпошлины и сборы</t>
  </si>
  <si>
    <t>247</t>
  </si>
  <si>
    <t xml:space="preserve"> </t>
  </si>
  <si>
    <t>12 2023</t>
  </si>
  <si>
    <t>0707 1210120230</t>
  </si>
  <si>
    <t>14 2021</t>
  </si>
  <si>
    <t>0707 14001 20210</t>
  </si>
  <si>
    <t>01401L3040</t>
  </si>
  <si>
    <r>
      <t xml:space="preserve">ГОРЯЧЕЕ ПИТАНИЕ </t>
    </r>
    <r>
      <rPr>
        <b/>
        <sz val="14"/>
        <color rgb="FFFF0000"/>
        <rFont val="Arial"/>
        <family val="2"/>
        <charset val="204"/>
      </rPr>
      <t>(СУБСИДИЯ на ОДНОРАЗОВОЕ ПИТАНИЕ 76,46 руб.) ФБ</t>
    </r>
  </si>
  <si>
    <r>
      <t xml:space="preserve">ГОРЯЧЕЕ ПИТАНИЕ </t>
    </r>
    <r>
      <rPr>
        <b/>
        <sz val="14"/>
        <color rgb="FFFF0000"/>
        <rFont val="Arial"/>
        <family val="2"/>
        <charset val="204"/>
      </rPr>
      <t>(СОФИНАНСИРОВАНИЕ ФБ)</t>
    </r>
  </si>
  <si>
    <t>01401S1040</t>
  </si>
  <si>
    <r>
      <t xml:space="preserve">ГОРЯЧЕЕ ПИТАНИЕ </t>
    </r>
    <r>
      <rPr>
        <b/>
        <sz val="14"/>
        <color rgb="FFFF0000"/>
        <rFont val="Arial"/>
        <family val="2"/>
        <charset val="204"/>
      </rPr>
      <t>(СУБСИДИЯ на ОДНОРАЗОВОЕ ПИТАНИЕ 50,54руб.) ОБ</t>
    </r>
  </si>
  <si>
    <t>0140171250</t>
  </si>
  <si>
    <r>
      <t xml:space="preserve">ГОРЯЧЕЕ ПИТАНИЕ </t>
    </r>
    <r>
      <rPr>
        <b/>
        <sz val="14"/>
        <color rgb="FFFF0000"/>
        <rFont val="Arial"/>
        <family val="2"/>
        <charset val="204"/>
      </rPr>
      <t>(СУБСИДИЯ на ОДНОРАЗОВОЕ ПИТАНИЕ 50,54руб.) софинансир. ОБ</t>
    </r>
  </si>
  <si>
    <t>01401S1250</t>
  </si>
  <si>
    <t>Остатки лагерь (областные 0127105)</t>
  </si>
  <si>
    <t>0127105</t>
  </si>
  <si>
    <t>ЛАГЕРЬ (областные)</t>
  </si>
  <si>
    <t>0707 0120171070</t>
  </si>
  <si>
    <t>0707 01201S1070</t>
  </si>
  <si>
    <t>ЛАГЕРЬ (софинансирование МБ)</t>
  </si>
  <si>
    <t xml:space="preserve">0140171040 </t>
  </si>
  <si>
    <t xml:space="preserve"> 0140175320 </t>
  </si>
  <si>
    <t>473Ц8413</t>
  </si>
  <si>
    <t>5105030347</t>
  </si>
  <si>
    <r>
      <t xml:space="preserve">Юридический адрес учреждения </t>
    </r>
    <r>
      <rPr>
        <b/>
        <u/>
        <sz val="13"/>
        <color theme="1"/>
        <rFont val="Times New Roman"/>
        <family val="1"/>
        <charset val="204"/>
      </rPr>
      <t xml:space="preserve">184376, Мурманская область, п. Кильдинстрой, ул. Набережная, д.11 </t>
    </r>
  </si>
  <si>
    <r>
      <t xml:space="preserve">Адрес фактического местонахождения учреждения </t>
    </r>
    <r>
      <rPr>
        <b/>
        <u/>
        <sz val="13"/>
        <color theme="1"/>
        <rFont val="Times New Roman"/>
        <family val="1"/>
        <charset val="204"/>
      </rPr>
      <t>184376, Мурманская область, п. Кильдинстрой, ул. Набережная, д.11</t>
    </r>
  </si>
  <si>
    <t xml:space="preserve">Муниципальное общеобразовательное учреждение Кильдинская основная общеобразовательная школа </t>
  </si>
  <si>
    <t>Кильдинская ООШ</t>
  </si>
  <si>
    <t>Остаток лагерь родительская плата</t>
  </si>
  <si>
    <t>ЛАГЕРЬ (ЛОЛ)</t>
  </si>
  <si>
    <t>0707 0120120030</t>
  </si>
  <si>
    <t>(наименование должности лица, утверждающего документ)</t>
  </si>
  <si>
    <t>Наименование учреждения</t>
  </si>
  <si>
    <r>
      <t>прочие поступления, всего</t>
    </r>
    <r>
      <rPr>
        <vertAlign val="superscript"/>
        <sz val="12"/>
        <rFont val="Times New Roman"/>
        <family val="1"/>
        <charset val="204"/>
      </rPr>
      <t>6</t>
    </r>
  </si>
  <si>
    <r>
      <t>расходы на закупку товаров, работ, услуг, всего</t>
    </r>
    <r>
      <rPr>
        <b/>
        <vertAlign val="superscript"/>
        <sz val="12"/>
        <rFont val="Times New Roman"/>
        <family val="1"/>
        <charset val="204"/>
      </rPr>
      <t>7</t>
    </r>
  </si>
  <si>
    <r>
      <t>Выплаты, уменьшающие доход, всего</t>
    </r>
    <r>
      <rPr>
        <b/>
        <vertAlign val="superscript"/>
        <sz val="12"/>
        <rFont val="Times New Roman"/>
        <family val="1"/>
        <charset val="204"/>
      </rPr>
      <t>8</t>
    </r>
  </si>
  <si>
    <r>
      <t>налог на прибыль</t>
    </r>
    <r>
      <rPr>
        <vertAlign val="superscript"/>
        <sz val="12"/>
        <rFont val="Times New Roman"/>
        <family val="1"/>
        <charset val="204"/>
      </rPr>
      <t>8</t>
    </r>
  </si>
  <si>
    <r>
      <t>налог на добавленную стоимость</t>
    </r>
    <r>
      <rPr>
        <vertAlign val="superscript"/>
        <sz val="12"/>
        <rFont val="Times New Roman"/>
        <family val="1"/>
        <charset val="204"/>
      </rPr>
      <t>8</t>
    </r>
  </si>
  <si>
    <r>
      <t>прочие налоги, уменьшающие доход</t>
    </r>
    <r>
      <rPr>
        <vertAlign val="superscript"/>
        <sz val="12"/>
        <rFont val="Times New Roman"/>
        <family val="1"/>
        <charset val="204"/>
      </rPr>
      <t>8</t>
    </r>
  </si>
  <si>
    <r>
      <t>Прочие выплаты, всего</t>
    </r>
    <r>
      <rPr>
        <b/>
        <vertAlign val="superscript"/>
        <sz val="12"/>
        <rFont val="Times New Roman"/>
        <family val="1"/>
        <charset val="204"/>
      </rPr>
      <t>9</t>
    </r>
  </si>
  <si>
    <t xml:space="preserve"> доходы от поступлений по условным арендным платежам</t>
  </si>
  <si>
    <t>1230</t>
  </si>
  <si>
    <t>135</t>
  </si>
  <si>
    <t>страхование</t>
  </si>
  <si>
    <t>227</t>
  </si>
  <si>
    <t>услуги для целей капитальных вложений</t>
  </si>
  <si>
    <t>2647</t>
  </si>
  <si>
    <t>228</t>
  </si>
  <si>
    <t>2648</t>
  </si>
  <si>
    <t>2649</t>
  </si>
  <si>
    <t>2700</t>
  </si>
  <si>
    <t xml:space="preserve">закупку товаров, работ, услуг в целях создания, развития, эксплуатации и вывода из </t>
  </si>
  <si>
    <t>246</t>
  </si>
  <si>
    <t>эксплуатации государственных информационных систем</t>
  </si>
  <si>
    <t>закупка энергетических ресурсов</t>
  </si>
  <si>
    <t>2660</t>
  </si>
  <si>
    <t>2710</t>
  </si>
  <si>
    <t>2720</t>
  </si>
  <si>
    <t>2450</t>
  </si>
  <si>
    <t>2460</t>
  </si>
  <si>
    <t>из них &lt;10/2&gt;</t>
  </si>
  <si>
    <t>26310.2</t>
  </si>
  <si>
    <t>из них &lt;10.1&gt;:</t>
  </si>
  <si>
    <t>из них &lt;10.2&gt;:</t>
  </si>
  <si>
    <t>26430.2</t>
  </si>
  <si>
    <t>26451.2</t>
  </si>
  <si>
    <r>
      <t>2011, № 30, ст. 4571; 2018, № 32, ст. 5135) (далее — Федеральный закон № 223-ФЗ) &lt;</t>
    </r>
    <r>
      <rPr>
        <vertAlign val="superscript"/>
        <sz val="11"/>
        <rFont val="Times New Roman"/>
        <family val="1"/>
        <charset val="204"/>
      </rPr>
      <t>12&gt;</t>
    </r>
  </si>
  <si>
    <t>"Код по бюджетной классификации Российской Федерации &lt;10.1&gt;"</t>
  </si>
  <si>
    <t>"Универсальный код &lt;10.2&gt;"</t>
  </si>
  <si>
    <t>4.1</t>
  </si>
  <si>
    <t>4.2</t>
  </si>
  <si>
    <r>
      <t>закона № 223-ФЗ &lt;</t>
    </r>
    <r>
      <rPr>
        <vertAlign val="superscript"/>
        <sz val="11"/>
        <rFont val="Times New Roman"/>
        <family val="1"/>
        <charset val="204"/>
      </rPr>
      <t>13&gt;</t>
    </r>
  </si>
  <si>
    <r>
      <t>и Федерального закона № 223-ФЗ &lt;</t>
    </r>
    <r>
      <rPr>
        <vertAlign val="superscript"/>
        <sz val="11"/>
        <rFont val="Times New Roman"/>
        <family val="1"/>
        <charset val="204"/>
      </rPr>
      <t>12&gt;</t>
    </r>
  </si>
  <si>
    <r>
      <t>том требований Федерального закона № 44-ФЗ и Федерального закона № 223-ФЗ &lt;</t>
    </r>
    <r>
      <rPr>
        <vertAlign val="superscript"/>
        <sz val="11"/>
        <rFont val="Times New Roman"/>
        <family val="1"/>
        <charset val="204"/>
      </rPr>
      <t>1&gt;3</t>
    </r>
  </si>
  <si>
    <r>
      <t>в соответствии с Федеральным законом № 223-ФЗ &lt;</t>
    </r>
    <r>
      <rPr>
        <vertAlign val="superscript"/>
        <sz val="11"/>
        <rFont val="Times New Roman"/>
        <family val="1"/>
        <charset val="204"/>
      </rPr>
      <t>14&gt;</t>
    </r>
  </si>
  <si>
    <t>из них &lt;10.1&gt;</t>
  </si>
  <si>
    <r>
      <t>за счет субсидий, предоставляемых на осуществление капитальных вложений &lt;</t>
    </r>
    <r>
      <rPr>
        <vertAlign val="superscript"/>
        <sz val="11"/>
        <rFont val="Times New Roman"/>
        <family val="1"/>
        <charset val="204"/>
      </rPr>
      <t>15&gt;</t>
    </r>
  </si>
  <si>
    <r>
      <t>Раздел 2. Сведения по выплатам на закупки товаров, работ, услуг</t>
    </r>
    <r>
      <rPr>
        <b/>
        <vertAlign val="superscript"/>
        <sz val="16"/>
        <rFont val="Times New Roman"/>
        <family val="1"/>
        <charset val="204"/>
      </rPr>
      <t>10</t>
    </r>
  </si>
  <si>
    <t>24</t>
  </si>
  <si>
    <t>14 2019</t>
  </si>
  <si>
    <t>0707 14002 20190</t>
  </si>
  <si>
    <t>296</t>
  </si>
  <si>
    <r>
      <t xml:space="preserve">ГОРЯЧЕЕ ПИТАНИЕ </t>
    </r>
    <r>
      <rPr>
        <b/>
        <sz val="14"/>
        <color rgb="FFFF0000"/>
        <rFont val="Arial"/>
        <family val="2"/>
        <charset val="204"/>
      </rPr>
      <t>(СУБСИДИЯ на ОДНОРАЗОВОЕ ПИТАНИЕ 79,1 руб.) ОБ</t>
    </r>
  </si>
  <si>
    <t>ПРИЛОЖЕНИЕ К ПЛАНУ ФИНАНСОВО - ХОЗЯЙСТВЕННОЙ ДЕЯТЕЛЬНОСТИ на 2024 год</t>
  </si>
  <si>
    <r>
      <t xml:space="preserve">ГОРЯЧЕЕ ПИТАНИЕ </t>
    </r>
    <r>
      <rPr>
        <b/>
        <sz val="14"/>
        <color rgb="FFFF0000"/>
        <rFont val="Arial"/>
        <family val="2"/>
        <charset val="204"/>
      </rPr>
      <t>(СУБСИДИЯ на ОДНОРАЗОВОЕ ПИТАНИЕ 82,9 руб.) ФБ</t>
    </r>
  </si>
  <si>
    <r>
      <t xml:space="preserve">ГОРЯЧЕЕ ПИТАНИЕ </t>
    </r>
    <r>
      <rPr>
        <b/>
        <sz val="14"/>
        <color rgb="FFFF0000"/>
        <rFont val="Arial"/>
        <family val="2"/>
        <charset val="204"/>
      </rPr>
      <t>(СУБСИДИЯ на ОДНОРАЗОВОЕ ПИТАНИЕ 82,9 руб.) ОБ</t>
    </r>
  </si>
  <si>
    <r>
      <t xml:space="preserve">ГОРЯЧЕЕ ПИТАНИЕ </t>
    </r>
    <r>
      <rPr>
        <b/>
        <sz val="14"/>
        <color rgb="FFFF0000"/>
        <rFont val="Arial"/>
        <family val="2"/>
        <charset val="204"/>
      </rPr>
      <t>(СУБСИДИЯ на ОДНОРАЗОВОЕ ПИТАНИЕ 82,9 руб.) софинансирование МБ</t>
    </r>
  </si>
  <si>
    <t>ГРАНД ОБЛАСТНЫЕ) и от соц.партнера</t>
  </si>
  <si>
    <t xml:space="preserve">ГРАНД </t>
  </si>
  <si>
    <t>213,226</t>
  </si>
  <si>
    <t>(наименование должности уполномоченного лица органа(структурного подразделения), осуществляющего функции и полномочия учредителя)</t>
  </si>
  <si>
    <r>
      <t xml:space="preserve">Муниципальное бюджетное общеобразовательное учреждение Кольского района Мурманской области </t>
    </r>
    <r>
      <rPr>
        <b/>
        <u/>
        <sz val="20"/>
        <rFont val="Times New Roman"/>
        <family val="1"/>
        <charset val="204"/>
      </rPr>
      <t>"Кильдинская основная общеобразовательная школа" (МБОУ Кильдинская ООШ")</t>
    </r>
  </si>
  <si>
    <t>на 2025 г.</t>
  </si>
  <si>
    <t>2025</t>
  </si>
  <si>
    <t>ПРИЛОЖЕНИЕ К ПЛАНУ ФИНАНСОВО - ХОЗЯЙСТВЕННОЙ ДЕЯТЕЛЬНОСТИ на 2025 год</t>
  </si>
  <si>
    <r>
      <t xml:space="preserve">ГОРЯЧЕЕ ПИТАНИЕ </t>
    </r>
    <r>
      <rPr>
        <b/>
        <sz val="14"/>
        <color rgb="FFFF0000"/>
        <rFont val="Arial"/>
        <family val="2"/>
        <charset val="204"/>
      </rPr>
      <t>(СУБСИДИЯ на ОДНОРАЗОВОЕ ПИТАНИЕ 96,07 руб.) ОБ</t>
    </r>
  </si>
  <si>
    <r>
      <t xml:space="preserve">ГОРЯЧЕЕ ПИТАНИЕ </t>
    </r>
    <r>
      <rPr>
        <b/>
        <sz val="14"/>
        <color rgb="FFFF0000"/>
        <rFont val="Arial"/>
        <family val="2"/>
        <charset val="204"/>
      </rPr>
      <t>(СУБСИДИЯ на ОДНОРАЗОВОЕ ПИТАНИЕ 1,96 руб.) софинансир. ОБ</t>
    </r>
  </si>
  <si>
    <r>
      <t xml:space="preserve">ГОРЯЧЕЕ ПИТАНИЕ </t>
    </r>
    <r>
      <rPr>
        <b/>
        <sz val="14"/>
        <color rgb="FFFF0000"/>
        <rFont val="Arial"/>
        <family val="2"/>
        <charset val="204"/>
      </rPr>
      <t>(СУБСИДИЯ на ОДНОРАЗОВОЕ ПИТАНИЕ 96,93 руб.) ОБ</t>
    </r>
  </si>
  <si>
    <t xml:space="preserve"> 0709 0110370790</t>
  </si>
  <si>
    <t>70790-23</t>
  </si>
  <si>
    <r>
      <t xml:space="preserve">Субсидия на обеспечение компл.безоп.учреждений образования </t>
    </r>
    <r>
      <rPr>
        <b/>
        <sz val="14"/>
        <color rgb="FFC00000"/>
        <rFont val="Arial"/>
        <family val="2"/>
        <charset val="204"/>
      </rPr>
      <t>(ОБЛАСТНОЙ БЮДЖЕТ)</t>
    </r>
  </si>
  <si>
    <t>0709 01103S0790</t>
  </si>
  <si>
    <r>
      <t xml:space="preserve">Субсидия на обеспечение компл.безоп.учреждений образования </t>
    </r>
    <r>
      <rPr>
        <b/>
        <sz val="14"/>
        <color rgb="FFC00000"/>
        <rFont val="Arial"/>
        <family val="2"/>
        <charset val="204"/>
      </rPr>
      <t>(софин.)</t>
    </r>
  </si>
  <si>
    <t>01 S079</t>
  </si>
  <si>
    <t>по строкам 2000—2800 — коды видов расходов бюджетов классификации расходов бюджетов;</t>
  </si>
  <si>
    <t>специальные расходы</t>
  </si>
  <si>
    <t>2800</t>
  </si>
  <si>
    <t>880</t>
  </si>
  <si>
    <t>25</t>
  </si>
  <si>
    <r>
      <t>ЛАГЕРЬ (областные)</t>
    </r>
    <r>
      <rPr>
        <b/>
        <sz val="18"/>
        <color rgb="FFFF0000"/>
        <rFont val="Arial"/>
        <family val="2"/>
        <charset val="204"/>
      </rPr>
      <t xml:space="preserve"> (01 7107)</t>
    </r>
  </si>
  <si>
    <t>0709 0120171070</t>
  </si>
  <si>
    <r>
      <t>ЛАГЕРЬ (софинансирование МБ)</t>
    </r>
    <r>
      <rPr>
        <b/>
        <sz val="24"/>
        <rFont val="Arial"/>
        <family val="2"/>
        <charset val="204"/>
      </rPr>
      <t xml:space="preserve"> </t>
    </r>
    <r>
      <rPr>
        <b/>
        <sz val="24"/>
        <color rgb="FFFF0000"/>
        <rFont val="Arial"/>
        <family val="2"/>
        <charset val="204"/>
      </rPr>
      <t>(01 S107)</t>
    </r>
  </si>
  <si>
    <t>0709 01201S1070</t>
  </si>
  <si>
    <t>0709 0120120030</t>
  </si>
  <si>
    <r>
      <t>ЛАГЕРЬ (ЛОЛ) МЕСТНЫЙ</t>
    </r>
    <r>
      <rPr>
        <b/>
        <sz val="18"/>
        <rFont val="Arial"/>
        <family val="2"/>
        <charset val="204"/>
      </rPr>
      <t xml:space="preserve"> </t>
    </r>
    <r>
      <rPr>
        <b/>
        <sz val="18"/>
        <color rgb="FFFF0000"/>
        <rFont val="Arial"/>
        <family val="2"/>
        <charset val="204"/>
      </rPr>
      <t>(01 2003)</t>
    </r>
  </si>
  <si>
    <t>ОБЕСПЕЧЕНИЕ КОМПЛЕКСНОЙ БЕЗОПАСНОСТИ</t>
  </si>
  <si>
    <t>01 7079</t>
  </si>
  <si>
    <t>0709 0110370790</t>
  </si>
  <si>
    <r>
      <t xml:space="preserve">ГОРЯЧЕЕ ПИТАНИЕ </t>
    </r>
    <r>
      <rPr>
        <b/>
        <sz val="14"/>
        <color rgb="FFFF0000"/>
        <rFont val="Arial"/>
        <family val="2"/>
        <charset val="204"/>
      </rPr>
      <t xml:space="preserve">(СУБСИДИЯ на ОДНОРАЗОВОЕ ПИТАНИЕ 96,93 руб.) ФБ  </t>
    </r>
    <r>
      <rPr>
        <b/>
        <sz val="18"/>
        <color theme="3" tint="0.59999389629810485"/>
        <rFont val="Arial"/>
        <family val="2"/>
        <charset val="204"/>
      </rPr>
      <t xml:space="preserve"> 01L304</t>
    </r>
  </si>
  <si>
    <r>
      <t xml:space="preserve">ГОРЯЧЕЕ ПИТАНИЕ </t>
    </r>
    <r>
      <rPr>
        <b/>
        <sz val="14"/>
        <color rgb="FFFF0000"/>
        <rFont val="Arial"/>
        <family val="2"/>
        <charset val="204"/>
      </rPr>
      <t>(СУБСИДИЯ на ОДНОРАЗОВОЕ ПИТАНИЕ 82,9 руб.) софинансирование к ФБ</t>
    </r>
  </si>
  <si>
    <t>НЕУСТОЙКА, ПЕНИ, ОСТАТОК ДОХОД</t>
  </si>
  <si>
    <t>ЦЕЛЕВЫЕ СРЕДСТВА</t>
  </si>
  <si>
    <t>Вывоз ТБО</t>
  </si>
  <si>
    <t xml:space="preserve">Муниципальное общеобразовательное учреждение КИЛЬДИНСКАЯ основнаяобщеобразовательная школа </t>
  </si>
  <si>
    <t>ОБЛАСТНОЙ БЮДЖЕТ</t>
  </si>
  <si>
    <t>0707 140017740U</t>
  </si>
  <si>
    <t>БЮДЖЕТ КОЛЬСКОГО РАЙОНА</t>
  </si>
  <si>
    <t>ОБЩЕСТВЕННО ПОЛЕЗНЫЕ РАБОТЫ в Мурманской области</t>
  </si>
  <si>
    <t>0707 14001S740U</t>
  </si>
  <si>
    <t>Экономист</t>
  </si>
  <si>
    <t>8 (1553) - 3 - 47 - 60</t>
  </si>
  <si>
    <t>Директор МОУ Кильдинская ООШ</t>
  </si>
  <si>
    <t>Смирнова Е.Н.</t>
  </si>
  <si>
    <t>Суханова М.А.</t>
  </si>
  <si>
    <t>на 2026 г.</t>
  </si>
  <si>
    <t>2026</t>
  </si>
  <si>
    <t>ОСТАТКИ на начало 2024 года</t>
  </si>
  <si>
    <t>ПРИЛОЖЕНИЕ К ПЛАНУ ФИНАНСОВО - ХОЗЯЙСТВЕННОЙ ДЕЯТЕЛЬНОСТИ на 2026 год</t>
  </si>
  <si>
    <r>
      <t xml:space="preserve">КЛАССНОЕ вознаграждение </t>
    </r>
    <r>
      <rPr>
        <b/>
        <sz val="22"/>
        <color rgb="FFFF0000"/>
        <rFont val="Arial"/>
        <family val="2"/>
        <charset val="204"/>
      </rPr>
      <t>(5)</t>
    </r>
  </si>
  <si>
    <t>Транспортные расходы (выплаты персоналу)</t>
  </si>
  <si>
    <t>Главный бухгалтер</t>
  </si>
  <si>
    <t>Лукина О.А.</t>
  </si>
  <si>
    <t>Начальник экономического отдела</t>
  </si>
  <si>
    <t>Белько Т.В.</t>
  </si>
  <si>
    <t>ВЫПЛАТЫ СОВЕТНИКАМ</t>
  </si>
  <si>
    <t>ОБ (01401А0500)</t>
  </si>
  <si>
    <t>Начальник управления образования</t>
  </si>
  <si>
    <t>Малов Н.А.</t>
  </si>
  <si>
    <t>на 2025 год по ШКОЛЫ</t>
  </si>
  <si>
    <t>ПРИЛОЖЕНИЕ К ПЛАНУ ФИНАНСОВО - ХОЗЯЙСТВЕННОЙ ДЕЯТЕЛЬНОСТИ на 2027 год</t>
  </si>
  <si>
    <t>ОСТАТКИ на начало 2025 года</t>
  </si>
  <si>
    <t>2027</t>
  </si>
  <si>
    <t>на 2027 г.</t>
  </si>
  <si>
    <t>27</t>
  </si>
  <si>
    <t>ФБ (014Ю650500)</t>
  </si>
  <si>
    <t>24-50500</t>
  </si>
  <si>
    <t>50500-25</t>
  </si>
  <si>
    <t>СОВЕТНИКИ 0702 014Ю651790</t>
  </si>
  <si>
    <t>24-51790</t>
  </si>
  <si>
    <t xml:space="preserve">0702 014Ю653030 </t>
  </si>
  <si>
    <t>0702 014Ю6А3030</t>
  </si>
  <si>
    <r>
      <t xml:space="preserve">ФЕДЕРАЛЬНЫЙ БЮДЖЕТ </t>
    </r>
    <r>
      <rPr>
        <b/>
        <sz val="16"/>
        <color rgb="FFFF0000"/>
        <rFont val="Arial"/>
        <family val="2"/>
        <charset val="204"/>
      </rPr>
      <t>(24-53030)</t>
    </r>
  </si>
  <si>
    <r>
      <t>ОБЛАСНОЙ БЮДЖЕТ</t>
    </r>
    <r>
      <rPr>
        <b/>
        <sz val="16"/>
        <color rgb="FFFF0000"/>
        <rFont val="Arial"/>
        <family val="2"/>
        <charset val="204"/>
      </rPr>
      <t xml:space="preserve"> (73030-25)</t>
    </r>
  </si>
  <si>
    <t>77080-25</t>
  </si>
  <si>
    <t>Руководители ШСК (0702 0140177080)</t>
  </si>
  <si>
    <t>0702 01401L3040</t>
  </si>
  <si>
    <t>01401А3040 (53040-25)</t>
  </si>
  <si>
    <t>01401S3040 (01 S304)</t>
  </si>
  <si>
    <r>
      <rPr>
        <b/>
        <sz val="16"/>
        <color rgb="FFFF0000"/>
        <rFont val="Arial"/>
        <family val="2"/>
        <charset val="204"/>
      </rPr>
      <t>СУБСИДИИ на организацию бесплатного горячего питания обучающихся</t>
    </r>
    <r>
      <rPr>
        <b/>
        <sz val="16"/>
        <rFont val="Arial"/>
        <family val="2"/>
        <charset val="204"/>
      </rPr>
      <t xml:space="preserve">           Питание (доплата до рег.размера) </t>
    </r>
  </si>
  <si>
    <r>
      <rPr>
        <b/>
        <sz val="16"/>
        <color rgb="FFFF0000"/>
        <rFont val="Arial"/>
        <family val="2"/>
        <charset val="204"/>
      </rPr>
      <t xml:space="preserve">РАСХОДЫ бюджета КР на организацию бесплатного горячего питания обучающихся </t>
    </r>
    <r>
      <rPr>
        <b/>
        <sz val="16"/>
        <rFont val="Arial"/>
        <family val="2"/>
        <charset val="204"/>
      </rPr>
      <t xml:space="preserve">Питание софин. (доплата до рег.размера) </t>
    </r>
  </si>
  <si>
    <t>Реализация проекта в сфере туризма</t>
  </si>
  <si>
    <t>01 S753</t>
  </si>
  <si>
    <t>ОБ</t>
  </si>
  <si>
    <t>Кольский район МО</t>
  </si>
  <si>
    <t>77530-25</t>
  </si>
  <si>
    <t>ПФХД 2025</t>
  </si>
  <si>
    <t>Льготная дорога</t>
  </si>
  <si>
    <t>льготая дорога</t>
  </si>
  <si>
    <t>ПФХД 2026</t>
  </si>
  <si>
    <t>ПФХД 2027</t>
  </si>
  <si>
    <t xml:space="preserve">МП № 1 "Развитие образования в Кольском районе МО»
                                                                                               </t>
  </si>
  <si>
    <t>Льготная доргога</t>
  </si>
  <si>
    <t xml:space="preserve">МП 1 "Развитие образования в Кольском районе Мурманской области»
                                                                                                 </t>
  </si>
  <si>
    <t>28</t>
  </si>
  <si>
    <t>декабря</t>
  </si>
  <si>
    <t>28.12.2024</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</si>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</sst>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2" x14ac:knownFonts="1">
    <font>
      <sz val="10"/>
      <name val="Arial"/>
    </font>
    <font>
      <sz val="10"/>
      <name val="Arial"/>
      <family val="2"/>
      <charset val="204"/>
    </font>
    <font>
      <b/>
      <sz val="12"/>
      <name val="Arial"/>
      <family val="2"/>
      <charset val="204"/>
    </font>
    <font>
      <sz val="14"/>
      <name val="Arial"/>
      <family val="2"/>
      <charset val="204"/>
    </font>
    <font>
      <sz val="11"/>
      <name val="Arial Cyr"/>
      <charset val="204"/>
    </font>
    <font>
      <b/>
      <sz val="11"/>
      <name val="Arial Cyr"/>
      <family val="2"/>
      <charset val="204"/>
    </font>
    <font>
      <b/>
      <sz val="14"/>
      <name val="Arial Cyr"/>
      <charset val="204"/>
    </font>
    <font>
      <sz val="8"/>
      <name val="Arial Cyr"/>
      <family val="2"/>
      <charset val="204"/>
    </font>
    <font>
      <sz val="11"/>
      <color indexed="8"/>
      <name val="Times New Roman"/>
      <family val="1"/>
      <charset val="204"/>
    </font>
    <font>
      <sz val="12"/>
      <name val="Arial Cyr"/>
      <charset val="204"/>
    </font>
    <font>
      <b/>
      <sz val="16"/>
      <name val="Arial Cyr"/>
      <charset val="204"/>
    </font>
    <font>
      <b/>
      <sz val="14"/>
      <name val="Arial"/>
      <family val="2"/>
      <charset val="204"/>
    </font>
    <font>
      <b/>
      <sz val="16"/>
      <name val="Arial"/>
      <family val="2"/>
      <charset val="204"/>
    </font>
    <font>
      <sz val="12"/>
      <name val="Arial"/>
      <family val="2"/>
      <charset val="204"/>
    </font>
    <font>
      <b/>
      <sz val="18"/>
      <name val="Arial"/>
      <family val="2"/>
      <charset val="204"/>
    </font>
    <font>
      <sz val="14"/>
      <name val="Arial Cyr"/>
      <family val="2"/>
      <charset val="204"/>
    </font>
    <font>
      <sz val="14"/>
      <name val="Arial Cyr"/>
      <charset val="204"/>
    </font>
    <font>
      <b/>
      <i/>
      <sz val="14"/>
      <name val="Arial Cyr"/>
      <charset val="204"/>
    </font>
    <font>
      <b/>
      <sz val="24"/>
      <name val="Arial Cyr"/>
      <charset val="204"/>
    </font>
    <font>
      <sz val="10"/>
      <name val="Arial Cyr"/>
      <charset val="204"/>
    </font>
    <font>
      <b/>
      <i/>
      <sz val="16"/>
      <name val="Arial Cyr"/>
      <charset val="204"/>
    </font>
    <font>
      <b/>
      <sz val="12"/>
      <color rgb="FFFF0000"/>
      <name val="Arial"/>
      <family val="2"/>
      <charset val="204"/>
    </font>
    <font>
      <b/>
      <sz val="14"/>
      <color indexed="10"/>
      <name val="Arial"/>
      <family val="2"/>
      <charset val="204"/>
    </font>
    <font>
      <sz val="16"/>
      <name val="Arial Cyr"/>
      <family val="2"/>
      <charset val="204"/>
    </font>
    <font>
      <b/>
      <sz val="14"/>
      <color rgb="FFFF0000"/>
      <name val="Arial"/>
      <family val="2"/>
      <charset val="204"/>
    </font>
    <font>
      <u/>
      <sz val="24"/>
      <name val="Arial Cyr"/>
      <charset val="204"/>
    </font>
    <font>
      <sz val="12"/>
      <color rgb="FF000000"/>
      <name val="Arial"/>
      <family val="2"/>
      <charset val="204"/>
    </font>
    <font>
      <b/>
      <sz val="20"/>
      <name val="Arial Cyr"/>
      <charset val="204"/>
    </font>
    <font>
      <b/>
      <sz val="18"/>
      <color rgb="FFFF0000"/>
      <name val="Arial"/>
      <family val="2"/>
      <charset val="204"/>
    </font>
    <font>
      <b/>
      <u/>
      <sz val="24"/>
      <name val="Arial Cyr"/>
      <charset val="204"/>
    </font>
    <font>
      <sz val="11"/>
      <name val="Times New Roman"/>
      <family val="1"/>
      <charset val="204"/>
    </font>
    <font>
      <sz val="10"/>
      <name val="Times New Roman"/>
      <family val="1"/>
      <charset val="204"/>
    </font>
    <font>
      <sz val="9"/>
      <name val="Times New Roman"/>
      <family val="1"/>
      <charset val="204"/>
    </font>
    <font>
      <b/>
      <sz val="12"/>
      <name val="Arial Cyr"/>
      <family val="2"/>
      <charset val="204"/>
    </font>
    <font>
      <b/>
      <sz val="16"/>
      <color rgb="FF7030A0"/>
      <name val="Arial"/>
      <family val="2"/>
      <charset val="204"/>
    </font>
    <font>
      <b/>
      <sz val="16"/>
      <color theme="5" tint="-0.249977111117893"/>
      <name val="Arial"/>
      <family val="2"/>
      <charset val="204"/>
    </font>
    <font>
      <b/>
      <sz val="14"/>
      <color rgb="FFC00000"/>
      <name val="Arial"/>
      <family val="2"/>
      <charset val="204"/>
    </font>
    <font>
      <i/>
      <sz val="12"/>
      <name val="Arial"/>
      <family val="2"/>
      <charset val="204"/>
    </font>
    <font>
      <b/>
      <i/>
      <sz val="12"/>
      <color rgb="FFFF0000"/>
      <name val="Arial"/>
      <family val="2"/>
      <charset val="204"/>
    </font>
    <font>
      <b/>
      <sz val="16"/>
      <color indexed="10"/>
      <name val="Arial"/>
      <family val="2"/>
      <charset val="204"/>
    </font>
    <font>
      <b/>
      <i/>
      <sz val="12"/>
      <name val="Arial"/>
      <family val="2"/>
      <charset val="204"/>
    </font>
    <font>
      <sz val="7"/>
      <name val="Times New Roman"/>
      <family val="1"/>
      <charset val="204"/>
    </font>
    <font>
      <b/>
      <sz val="12"/>
      <name val="Times New Roman"/>
      <family val="1"/>
      <charset val="204"/>
    </font>
    <font>
      <vertAlign val="superscript"/>
      <sz val="9"/>
      <name val="Times New Roman"/>
      <family val="1"/>
      <charset val="204"/>
    </font>
    <font>
      <sz val="8"/>
      <name val="Times New Roman"/>
      <family val="1"/>
      <charset val="204"/>
    </font>
    <font>
      <vertAlign val="superscript"/>
      <sz val="8"/>
      <name val="Times New Roman"/>
      <family val="1"/>
      <charset val="204"/>
    </font>
    <font>
      <b/>
      <i/>
      <sz val="14"/>
      <color rgb="FFFF0000"/>
      <name val="Arial Cyr"/>
      <charset val="204"/>
    </font>
    <font>
      <b/>
      <sz val="14"/>
      <color rgb="FFFF0000"/>
      <name val="Arial Cyr"/>
      <charset val="204"/>
    </font>
    <font>
      <b/>
      <i/>
      <sz val="14"/>
      <color rgb="FF7030A0"/>
      <name val="Arial Cyr"/>
      <charset val="204"/>
    </font>
    <font>
      <b/>
      <sz val="12"/>
      <name val="Arial Cyr"/>
      <charset val="204"/>
    </font>
    <font>
      <b/>
      <sz val="10"/>
      <name val="Arial Cyr"/>
      <charset val="204"/>
    </font>
    <font>
      <b/>
      <i/>
      <sz val="10"/>
      <name val="Arial Cyr"/>
      <charset val="204"/>
    </font>
    <font>
      <sz val="8"/>
      <name val="Arial Cyr"/>
      <charset val="204"/>
    </font>
    <font>
      <b/>
      <sz val="11"/>
      <name val="Arial Cyr"/>
      <charset val="204"/>
    </font>
    <font>
      <b/>
      <i/>
      <sz val="14"/>
      <color indexed="10"/>
      <name val="Arial Cyr"/>
      <charset val="204"/>
    </font>
    <font>
      <sz val="12"/>
      <name val="Times New Roman"/>
      <family val="1"/>
      <charset val="204"/>
    </font>
    <font>
      <sz val="14"/>
      <name val="Times New Roman"/>
      <family val="1"/>
      <charset val="204"/>
    </font>
    <font>
      <b/>
      <sz val="16"/>
      <name val="Times New Roman"/>
      <family val="1"/>
      <charset val="204"/>
    </font>
    <font>
      <b/>
      <vertAlign val="superscript"/>
      <sz val="16"/>
      <name val="Times New Roman"/>
      <family val="1"/>
      <charset val="204"/>
    </font>
    <font>
      <sz val="16"/>
      <name val="Times New Roman"/>
      <family val="1"/>
      <charset val="204"/>
    </font>
    <font>
      <vertAlign val="superscript"/>
      <sz val="11"/>
      <name val="Times New Roman"/>
      <family val="1"/>
      <charset val="204"/>
    </font>
    <font>
      <u/>
      <sz val="12"/>
      <name val="Times New Roman"/>
      <family val="1"/>
      <charset val="204"/>
    </font>
    <font>
      <b/>
      <sz val="20"/>
      <color rgb="FFFF0000"/>
      <name val="Arial Cyr"/>
      <charset val="204"/>
    </font>
    <font>
      <b/>
      <vertAlign val="superscript"/>
      <sz val="12"/>
      <name val="Times New Roman"/>
      <family val="1"/>
      <charset val="204"/>
    </font>
    <font>
      <sz val="9"/>
      <color indexed="81"/>
      <name val="Tahoma"/>
      <family val="2"/>
      <charset val="204"/>
    </font>
    <font>
      <b/>
      <sz val="9"/>
      <color indexed="81"/>
      <name val="Tahoma"/>
      <family val="2"/>
      <charset val="204"/>
    </font>
    <font>
      <b/>
      <sz val="11"/>
      <name val="Times New Roman"/>
      <family val="1"/>
      <charset val="204"/>
    </font>
    <font>
      <b/>
      <vertAlign val="superscript"/>
      <sz val="11"/>
      <name val="Times New Roman"/>
      <family val="1"/>
      <charset val="204"/>
    </font>
    <font>
      <sz val="13"/>
      <color theme="1"/>
      <name val="Times New Roman"/>
      <family val="1"/>
      <charset val="204"/>
    </font>
    <font>
      <b/>
      <u/>
      <sz val="13"/>
      <color theme="1"/>
      <name val="Times New Roman"/>
      <family val="1"/>
      <charset val="204"/>
    </font>
    <font>
      <b/>
      <i/>
      <sz val="18"/>
      <name val="Arial Cyr"/>
      <charset val="204"/>
    </font>
    <font>
      <b/>
      <sz val="18"/>
      <name val="Arial Cyr"/>
      <charset val="204"/>
    </font>
    <font>
      <sz val="18"/>
      <name val="Arial Cyr"/>
      <charset val="204"/>
    </font>
    <font>
      <b/>
      <sz val="18"/>
      <color rgb="FFFF0000"/>
      <name val="Times New Roman"/>
      <family val="1"/>
      <charset val="204"/>
    </font>
    <font>
      <b/>
      <sz val="16"/>
      <color rgb="FFFF0000"/>
      <name val="Arial Cyr"/>
      <charset val="204"/>
    </font>
    <font>
      <b/>
      <sz val="14"/>
      <name val="Times New Roman"/>
      <family val="1"/>
      <charset val="204"/>
    </font>
    <font>
      <sz val="10"/>
      <color rgb="FFFF0000"/>
      <name val="Times New Roman"/>
      <family val="1"/>
      <charset val="204"/>
    </font>
    <font>
      <b/>
      <sz val="15"/>
      <name val="Times New Roman"/>
      <family val="1"/>
      <charset val="204"/>
    </font>
    <font>
      <vertAlign val="superscript"/>
      <sz val="12"/>
      <name val="Times New Roman"/>
      <family val="1"/>
      <charset val="204"/>
    </font>
    <font>
      <b/>
      <sz val="18"/>
      <name val="Times New Roman"/>
      <family val="1"/>
      <charset val="204"/>
    </font>
    <font>
      <u/>
      <sz val="20"/>
      <name val="Times New Roman"/>
      <family val="1"/>
      <charset val="204"/>
    </font>
    <font>
      <b/>
      <u/>
      <sz val="20"/>
      <name val="Times New Roman"/>
      <family val="1"/>
      <charset val="204"/>
    </font>
    <font>
      <b/>
      <sz val="19"/>
      <name val="Arial"/>
      <family val="2"/>
      <charset val="204"/>
    </font>
    <font>
      <b/>
      <sz val="16"/>
      <color rgb="FFFF0000"/>
      <name val="Arial"/>
      <family val="2"/>
      <charset val="204"/>
    </font>
    <font>
      <b/>
      <sz val="24"/>
      <name val="Arial"/>
      <family val="2"/>
      <charset val="204"/>
    </font>
    <font>
      <b/>
      <sz val="24"/>
      <color rgb="FFFF0000"/>
      <name val="Arial"/>
      <family val="2"/>
      <charset val="204"/>
    </font>
    <font>
      <b/>
      <sz val="18"/>
      <color theme="3" tint="0.59999389629810485"/>
      <name val="Arial"/>
      <family val="2"/>
      <charset val="204"/>
    </font>
    <font>
      <b/>
      <sz val="22"/>
      <color rgb="FF7030A0"/>
      <name val="Arial"/>
      <family val="2"/>
      <charset val="204"/>
    </font>
    <font>
      <b/>
      <sz val="22"/>
      <name val="Arial"/>
      <family val="2"/>
      <charset val="204"/>
    </font>
    <font>
      <b/>
      <sz val="22"/>
      <color rgb="FFFF0000"/>
      <name val="Arial"/>
      <family val="2"/>
      <charset val="204"/>
    </font>
    <font>
      <sz val="11"/>
      <color rgb="FFFF0000"/>
      <name val="Times New Roman"/>
      <family val="1"/>
      <charset val="204"/>
    </font>
    <font>
      <b/>
      <sz val="11"/>
      <color rgb="FFFF0000"/>
      <name val="Times New Roman"/>
      <family val="1"/>
      <charset val="204"/>
    </font>
  </fonts>
  <fills count="17">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9" fillId="0" borderId="0"/>
  </cellStyleXfs>
  <cellXfs count="1058">
    <xf numFmtId="0" fontId="0" fillId="0" borderId="0" xfId="0"/>
    <xf numFmtId="0" fontId="0" fillId="0" borderId="0" xfId="0" applyFill="1"/>
    <xf numFmtId="0" fontId="0" fillId="0" borderId="0" xfId="0" applyBorder="1"/>
    <xf numFmtId="0" fontId="4" fillId="0" borderId="0" xfId="0" applyFont="1"/>
    <xf numFmtId="0" fontId="4" fillId="0" borderId="0" xfId="0" applyFont="1" applyFill="1"/>
    <xf numFmtId="0" fontId="8" fillId="0" borderId="0" xfId="0" applyFont="1" applyAlignment="1">
      <alignment vertical="center"/>
    </xf>
    <xf numFmtId="0" fontId="7" fillId="0" borderId="0" xfId="0" applyFont="1" applyBorder="1"/>
    <xf numFmtId="0" fontId="4" fillId="0" borderId="0" xfId="0" applyFont="1" applyAlignment="1">
      <alignment horizontal="left"/>
    </xf>
    <xf numFmtId="49" fontId="4" fillId="0" borderId="0" xfId="0" applyNumberFormat="1" applyFont="1" applyBorder="1" applyAlignment="1">
      <alignment horizontal="center" vertical="center"/>
    </xf>
    <xf numFmtId="0" fontId="14" fillId="0" borderId="0" xfId="0" applyFont="1"/>
    <xf numFmtId="0" fontId="16" fillId="0" borderId="0" xfId="0" applyFont="1" applyFill="1" applyBorder="1" applyAlignment="1">
      <alignment horizontal="left"/>
    </xf>
    <xf numFmtId="0" fontId="16" fillId="0" borderId="0" xfId="0" applyFont="1"/>
    <xf numFmtId="0" fontId="3" fillId="0" borderId="0" xfId="0" applyFont="1"/>
    <xf numFmtId="4" fontId="16" fillId="0" borderId="3" xfId="0" applyNumberFormat="1" applyFont="1" applyFill="1" applyBorder="1" applyAlignment="1">
      <alignment horizontal="center"/>
    </xf>
    <xf numFmtId="4" fontId="17" fillId="0" borderId="3" xfId="0" applyNumberFormat="1" applyFont="1" applyFill="1" applyBorder="1" applyAlignment="1">
      <alignment horizontal="center"/>
    </xf>
    <xf numFmtId="4" fontId="16" fillId="0" borderId="7" xfId="0" applyNumberFormat="1" applyFont="1" applyFill="1" applyBorder="1" applyAlignment="1">
      <alignment horizontal="center"/>
    </xf>
    <xf numFmtId="0" fontId="13" fillId="0" borderId="2" xfId="0" applyFont="1" applyBorder="1" applyAlignment="1">
      <alignment wrapText="1"/>
    </xf>
    <xf numFmtId="4" fontId="17" fillId="0" borderId="8" xfId="0" applyNumberFormat="1" applyFont="1" applyFill="1" applyBorder="1" applyAlignment="1">
      <alignment horizontal="center"/>
    </xf>
    <xf numFmtId="4" fontId="16" fillId="0" borderId="8" xfId="0" applyNumberFormat="1" applyFont="1" applyFill="1" applyBorder="1" applyAlignment="1">
      <alignment horizontal="center"/>
    </xf>
    <xf numFmtId="4" fontId="16" fillId="0" borderId="12" xfId="0" applyNumberFormat="1" applyFont="1" applyFill="1" applyBorder="1" applyAlignment="1">
      <alignment horizontal="center"/>
    </xf>
    <xf numFmtId="0" fontId="13" fillId="0" borderId="2" xfId="0" applyFont="1" applyBorder="1" applyAlignment="1">
      <alignment horizontal="left" wrapText="1"/>
    </xf>
    <xf numFmtId="0" fontId="16" fillId="0" borderId="0" xfId="0" applyFont="1" applyFill="1" applyBorder="1" applyAlignment="1">
      <alignment horizontal="right"/>
    </xf>
    <xf numFmtId="0" fontId="15" fillId="0" borderId="0" xfId="0" applyFont="1" applyFill="1" applyBorder="1"/>
    <xf numFmtId="0" fontId="5" fillId="0" borderId="0" xfId="0" applyFont="1" applyFill="1" applyBorder="1" applyAlignment="1">
      <alignment horizontal="center"/>
    </xf>
    <xf numFmtId="0" fontId="18" fillId="0" borderId="0" xfId="0" applyFont="1" applyFill="1" applyBorder="1" applyAlignment="1">
      <alignment horizontal="center"/>
    </xf>
    <xf numFmtId="0" fontId="23" fillId="0" borderId="0" xfId="0" applyFont="1" applyBorder="1"/>
    <xf numFmtId="0" fontId="6" fillId="0" borderId="0" xfId="0" applyFont="1" applyBorder="1" applyAlignment="1">
      <alignment horizontal="center" vertical="center"/>
    </xf>
    <xf numFmtId="0" fontId="26" fillId="0" borderId="2" xfId="0" applyFont="1" applyFill="1" applyBorder="1" applyAlignment="1">
      <alignment vertical="center" wrapText="1"/>
    </xf>
    <xf numFmtId="0" fontId="25" fillId="0" borderId="0" xfId="0" applyFont="1" applyBorder="1" applyAlignment="1">
      <alignment wrapText="1"/>
    </xf>
    <xf numFmtId="0" fontId="0" fillId="0" borderId="8" xfId="0" applyBorder="1"/>
    <xf numFmtId="0" fontId="0" fillId="0" borderId="3" xfId="0" applyBorder="1"/>
    <xf numFmtId="0" fontId="14" fillId="0" borderId="0" xfId="0" applyFont="1" applyAlignment="1"/>
    <xf numFmtId="4" fontId="16" fillId="4" borderId="3" xfId="0" applyNumberFormat="1" applyFont="1" applyFill="1" applyBorder="1" applyAlignment="1">
      <alignment horizontal="center"/>
    </xf>
    <xf numFmtId="4" fontId="16" fillId="9" borderId="3" xfId="0" applyNumberFormat="1" applyFont="1" applyFill="1" applyBorder="1" applyAlignment="1">
      <alignment horizontal="center"/>
    </xf>
    <xf numFmtId="49" fontId="34" fillId="0" borderId="3" xfId="0" applyNumberFormat="1" applyFont="1" applyFill="1" applyBorder="1" applyAlignment="1">
      <alignment horizontal="center" vertical="center" wrapText="1"/>
    </xf>
    <xf numFmtId="49" fontId="34" fillId="0" borderId="8" xfId="0" applyNumberFormat="1" applyFont="1" applyFill="1" applyBorder="1" applyAlignment="1">
      <alignment horizontal="center" vertical="center" wrapText="1"/>
    </xf>
    <xf numFmtId="4" fontId="16" fillId="9" borderId="8" xfId="0" applyNumberFormat="1" applyFont="1" applyFill="1" applyBorder="1" applyAlignment="1">
      <alignment horizontal="center"/>
    </xf>
    <xf numFmtId="0" fontId="13" fillId="0" borderId="2" xfId="0" applyFont="1" applyBorder="1" applyAlignment="1">
      <alignment horizontal="left" vertical="center" wrapText="1"/>
    </xf>
    <xf numFmtId="0" fontId="10" fillId="0" borderId="3" xfId="0" applyFont="1" applyBorder="1" applyAlignment="1">
      <alignment horizontal="center" wrapText="1"/>
    </xf>
    <xf numFmtId="0" fontId="2" fillId="0" borderId="24" xfId="0" applyFont="1" applyBorder="1" applyAlignment="1">
      <alignment wrapText="1"/>
    </xf>
    <xf numFmtId="49" fontId="2"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3" fillId="0" borderId="2" xfId="0" applyFont="1" applyFill="1" applyBorder="1" applyAlignment="1">
      <alignment wrapText="1"/>
    </xf>
    <xf numFmtId="0" fontId="13" fillId="0" borderId="2" xfId="0" applyFont="1" applyFill="1" applyBorder="1" applyAlignment="1">
      <alignment horizontal="left" wrapText="1"/>
    </xf>
    <xf numFmtId="4" fontId="17" fillId="5" borderId="3" xfId="0" applyNumberFormat="1" applyFont="1" applyFill="1" applyBorder="1" applyAlignment="1">
      <alignment horizontal="center"/>
    </xf>
    <xf numFmtId="4" fontId="17" fillId="7" borderId="3" xfId="0" applyNumberFormat="1" applyFont="1" applyFill="1" applyBorder="1" applyAlignment="1">
      <alignment horizontal="center"/>
    </xf>
    <xf numFmtId="4" fontId="17" fillId="7" borderId="8" xfId="0" applyNumberFormat="1" applyFont="1" applyFill="1" applyBorder="1" applyAlignment="1">
      <alignment horizontal="center"/>
    </xf>
    <xf numFmtId="4" fontId="6" fillId="7" borderId="3" xfId="0" applyNumberFormat="1" applyFont="1" applyFill="1" applyBorder="1" applyAlignment="1">
      <alignment horizontal="center"/>
    </xf>
    <xf numFmtId="4" fontId="16" fillId="5" borderId="3" xfId="0" applyNumberFormat="1" applyFont="1" applyFill="1" applyBorder="1" applyAlignment="1">
      <alignment horizontal="center"/>
    </xf>
    <xf numFmtId="4" fontId="16" fillId="5" borderId="8" xfId="0" applyNumberFormat="1" applyFont="1" applyFill="1" applyBorder="1" applyAlignment="1">
      <alignment horizontal="center"/>
    </xf>
    <xf numFmtId="4" fontId="17" fillId="5" borderId="8" xfId="0" applyNumberFormat="1" applyFont="1" applyFill="1" applyBorder="1" applyAlignment="1">
      <alignment horizontal="center"/>
    </xf>
    <xf numFmtId="0" fontId="13" fillId="5" borderId="2" xfId="0" applyFont="1" applyFill="1" applyBorder="1" applyAlignment="1">
      <alignment wrapText="1"/>
    </xf>
    <xf numFmtId="0" fontId="2" fillId="5" borderId="24" xfId="0" applyFont="1" applyFill="1" applyBorder="1" applyAlignment="1">
      <alignment wrapText="1"/>
    </xf>
    <xf numFmtId="49" fontId="10" fillId="5" borderId="3" xfId="0" applyNumberFormat="1" applyFont="1" applyFill="1" applyBorder="1" applyAlignment="1">
      <alignment horizontal="center" vertical="center"/>
    </xf>
    <xf numFmtId="0" fontId="20" fillId="5" borderId="3" xfId="0" applyFont="1" applyFill="1" applyBorder="1" applyAlignment="1">
      <alignment horizontal="center" vertical="center"/>
    </xf>
    <xf numFmtId="4" fontId="16" fillId="4" borderId="8" xfId="0" applyNumberFormat="1" applyFont="1" applyFill="1" applyBorder="1" applyAlignment="1">
      <alignment horizontal="center"/>
    </xf>
    <xf numFmtId="4" fontId="6" fillId="7" borderId="8" xfId="0" applyNumberFormat="1" applyFont="1" applyFill="1" applyBorder="1" applyAlignment="1">
      <alignment horizontal="center"/>
    </xf>
    <xf numFmtId="0" fontId="37" fillId="0" borderId="2" xfId="0" applyFont="1" applyBorder="1" applyAlignment="1">
      <alignment wrapText="1"/>
    </xf>
    <xf numFmtId="0" fontId="0" fillId="0" borderId="2" xfId="0" applyBorder="1" applyAlignment="1">
      <alignment horizontal="left" wrapText="1"/>
    </xf>
    <xf numFmtId="0" fontId="1" fillId="0" borderId="2" xfId="0" applyFont="1" applyBorder="1" applyAlignment="1">
      <alignment horizontal="left" wrapText="1"/>
    </xf>
    <xf numFmtId="0" fontId="13" fillId="0" borderId="10" xfId="0" applyFont="1" applyFill="1" applyBorder="1" applyAlignment="1">
      <alignment wrapText="1"/>
    </xf>
    <xf numFmtId="49" fontId="2" fillId="0" borderId="7" xfId="0" applyNumberFormat="1" applyFont="1" applyBorder="1" applyAlignment="1">
      <alignment horizontal="center" vertical="center" wrapText="1"/>
    </xf>
    <xf numFmtId="0" fontId="10" fillId="0" borderId="7" xfId="0" applyFont="1" applyBorder="1" applyAlignment="1">
      <alignment horizontal="center" vertical="center"/>
    </xf>
    <xf numFmtId="4" fontId="16" fillId="9" borderId="7" xfId="0" applyNumberFormat="1" applyFont="1" applyFill="1" applyBorder="1" applyAlignment="1">
      <alignment horizontal="center"/>
    </xf>
    <xf numFmtId="4" fontId="20" fillId="8" borderId="3" xfId="0" applyNumberFormat="1" applyFont="1" applyFill="1" applyBorder="1" applyAlignment="1">
      <alignment horizontal="center"/>
    </xf>
    <xf numFmtId="4" fontId="20" fillId="8" borderId="8" xfId="0" applyNumberFormat="1" applyFont="1" applyFill="1" applyBorder="1" applyAlignment="1">
      <alignment horizontal="center"/>
    </xf>
    <xf numFmtId="0" fontId="6" fillId="0" borderId="0" xfId="0" applyFont="1" applyBorder="1" applyAlignment="1">
      <alignment horizontal="center" vertical="center"/>
    </xf>
    <xf numFmtId="0" fontId="10" fillId="0" borderId="3" xfId="0" applyFont="1" applyBorder="1" applyAlignment="1">
      <alignment horizontal="center" vertical="center"/>
    </xf>
    <xf numFmtId="0" fontId="40" fillId="0" borderId="2" xfId="0" applyFont="1" applyBorder="1" applyAlignment="1">
      <alignment wrapText="1"/>
    </xf>
    <xf numFmtId="49" fontId="34" fillId="6" borderId="3" xfId="0" applyNumberFormat="1" applyFont="1" applyFill="1" applyBorder="1" applyAlignment="1">
      <alignment horizontal="center" vertical="center" wrapText="1"/>
    </xf>
    <xf numFmtId="49" fontId="34" fillId="6" borderId="8" xfId="0" applyNumberFormat="1" applyFont="1" applyFill="1" applyBorder="1" applyAlignment="1">
      <alignment horizontal="center" vertical="center" wrapText="1"/>
    </xf>
    <xf numFmtId="49" fontId="35" fillId="6" borderId="7" xfId="0" applyNumberFormat="1" applyFont="1" applyFill="1" applyBorder="1" applyAlignment="1">
      <alignment horizontal="center" wrapText="1"/>
    </xf>
    <xf numFmtId="49" fontId="35" fillId="6" borderId="12" xfId="0" applyNumberFormat="1" applyFont="1" applyFill="1" applyBorder="1" applyAlignment="1">
      <alignment horizontal="center" wrapText="1"/>
    </xf>
    <xf numFmtId="49" fontId="35" fillId="6" borderId="7" xfId="0" applyNumberFormat="1" applyFont="1" applyFill="1" applyBorder="1" applyAlignment="1">
      <alignment horizontal="center" vertical="center" wrapText="1"/>
    </xf>
    <xf numFmtId="4" fontId="17" fillId="3" borderId="6" xfId="0" applyNumberFormat="1" applyFont="1" applyFill="1" applyBorder="1" applyAlignment="1">
      <alignment horizontal="center"/>
    </xf>
    <xf numFmtId="4" fontId="17" fillId="3" borderId="14" xfId="0" applyNumberFormat="1" applyFont="1" applyFill="1" applyBorder="1" applyAlignment="1">
      <alignment horizontal="center"/>
    </xf>
    <xf numFmtId="4" fontId="16" fillId="3" borderId="3" xfId="0" applyNumberFormat="1" applyFont="1" applyFill="1" applyBorder="1" applyAlignment="1">
      <alignment horizontal="center"/>
    </xf>
    <xf numFmtId="4" fontId="16" fillId="3" borderId="8" xfId="0" applyNumberFormat="1" applyFont="1" applyFill="1" applyBorder="1" applyAlignment="1">
      <alignment horizontal="center"/>
    </xf>
    <xf numFmtId="4" fontId="17" fillId="3" borderId="3" xfId="0" applyNumberFormat="1" applyFont="1" applyFill="1" applyBorder="1" applyAlignment="1">
      <alignment horizontal="center"/>
    </xf>
    <xf numFmtId="4" fontId="17" fillId="3" borderId="8" xfId="0" applyNumberFormat="1" applyFont="1" applyFill="1" applyBorder="1" applyAlignment="1">
      <alignment horizontal="center"/>
    </xf>
    <xf numFmtId="4" fontId="17" fillId="10" borderId="15" xfId="0" applyNumberFormat="1" applyFont="1" applyFill="1" applyBorder="1" applyAlignment="1">
      <alignment horizontal="center"/>
    </xf>
    <xf numFmtId="4" fontId="17" fillId="10" borderId="17" xfId="0" applyNumberFormat="1" applyFont="1" applyFill="1" applyBorder="1" applyAlignment="1">
      <alignment horizontal="center"/>
    </xf>
    <xf numFmtId="0" fontId="31" fillId="0" borderId="0" xfId="0" applyFont="1" applyAlignment="1">
      <alignment horizontal="left"/>
    </xf>
    <xf numFmtId="0" fontId="41" fillId="0" borderId="0" xfId="0" applyFont="1" applyAlignment="1">
      <alignment horizontal="center" vertical="top"/>
    </xf>
    <xf numFmtId="0" fontId="42" fillId="0" borderId="0" xfId="0" applyFont="1" applyAlignment="1">
      <alignment horizontal="left"/>
    </xf>
    <xf numFmtId="0" fontId="32" fillId="0" borderId="0" xfId="0" applyFont="1" applyAlignment="1">
      <alignment horizontal="left"/>
    </xf>
    <xf numFmtId="0" fontId="44" fillId="0" borderId="0" xfId="0" applyFont="1" applyAlignment="1">
      <alignment horizontal="left"/>
    </xf>
    <xf numFmtId="0" fontId="44" fillId="0" borderId="0" xfId="0" applyFont="1" applyAlignment="1">
      <alignment horizontal="left" vertical="center"/>
    </xf>
    <xf numFmtId="3" fontId="47" fillId="0" borderId="0" xfId="0" applyNumberFormat="1" applyFont="1" applyFill="1"/>
    <xf numFmtId="3" fontId="0" fillId="0" borderId="0" xfId="0" applyNumberFormat="1" applyFill="1"/>
    <xf numFmtId="3" fontId="0" fillId="0" borderId="0" xfId="0" applyNumberFormat="1" applyFill="1" applyBorder="1"/>
    <xf numFmtId="3" fontId="49" fillId="0" borderId="0" xfId="0" applyNumberFormat="1" applyFont="1" applyFill="1" applyAlignment="1">
      <alignment vertical="center" wrapText="1"/>
    </xf>
    <xf numFmtId="3" fontId="52" fillId="0" borderId="2" xfId="0" applyNumberFormat="1" applyFont="1" applyFill="1" applyBorder="1" applyAlignment="1">
      <alignment horizontal="center" wrapText="1"/>
    </xf>
    <xf numFmtId="3" fontId="52" fillId="0" borderId="3" xfId="0" applyNumberFormat="1" applyFont="1" applyFill="1" applyBorder="1" applyAlignment="1">
      <alignment horizontal="center" wrapText="1"/>
    </xf>
    <xf numFmtId="3" fontId="52" fillId="0" borderId="8" xfId="0" applyNumberFormat="1" applyFont="1" applyFill="1" applyBorder="1" applyAlignment="1">
      <alignment horizontal="center" wrapText="1"/>
    </xf>
    <xf numFmtId="3" fontId="52" fillId="0" borderId="0" xfId="0" applyNumberFormat="1" applyFont="1" applyFill="1"/>
    <xf numFmtId="3" fontId="53" fillId="0" borderId="10" xfId="0" applyNumberFormat="1" applyFont="1" applyFill="1" applyBorder="1" applyAlignment="1">
      <alignment horizontal="center" vertical="center" wrapText="1"/>
    </xf>
    <xf numFmtId="3" fontId="9" fillId="0" borderId="7" xfId="0" applyNumberFormat="1" applyFont="1" applyFill="1" applyBorder="1" applyAlignment="1">
      <alignment horizontal="center" wrapText="1"/>
    </xf>
    <xf numFmtId="3" fontId="4" fillId="0" borderId="7" xfId="0" applyNumberFormat="1" applyFont="1" applyFill="1" applyBorder="1" applyAlignment="1">
      <alignment horizontal="center" wrapText="1"/>
    </xf>
    <xf numFmtId="4" fontId="49" fillId="0" borderId="12" xfId="0" applyNumberFormat="1" applyFont="1" applyFill="1" applyBorder="1" applyAlignment="1">
      <alignment horizontal="center" wrapText="1"/>
    </xf>
    <xf numFmtId="3" fontId="48" fillId="0" borderId="0" xfId="0" applyNumberFormat="1"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55" fillId="0" borderId="0" xfId="0" applyFont="1" applyAlignment="1">
      <alignment horizontal="left"/>
    </xf>
    <xf numFmtId="49" fontId="10" fillId="0" borderId="3"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6" fillId="0" borderId="0" xfId="0" applyFont="1" applyBorder="1" applyAlignment="1">
      <alignment horizontal="center" vertical="center"/>
    </xf>
    <xf numFmtId="0" fontId="27" fillId="0" borderId="0" xfId="0" applyFont="1" applyBorder="1" applyAlignment="1">
      <alignment horizontal="center" vertical="center" wrapText="1"/>
    </xf>
    <xf numFmtId="0" fontId="62" fillId="0" borderId="0" xfId="0" applyFont="1" applyFill="1" applyBorder="1"/>
    <xf numFmtId="49" fontId="34" fillId="0" borderId="22" xfId="0" applyNumberFormat="1" applyFont="1" applyFill="1" applyBorder="1" applyAlignment="1">
      <alignment horizontal="center" vertical="center" wrapText="1"/>
    </xf>
    <xf numFmtId="4" fontId="20" fillId="8" borderId="22" xfId="0" applyNumberFormat="1" applyFont="1" applyFill="1" applyBorder="1" applyAlignment="1">
      <alignment horizontal="center"/>
    </xf>
    <xf numFmtId="4" fontId="6" fillId="7" borderId="22" xfId="0" applyNumberFormat="1" applyFont="1" applyFill="1" applyBorder="1" applyAlignment="1">
      <alignment horizontal="center"/>
    </xf>
    <xf numFmtId="4" fontId="16" fillId="0" borderId="22" xfId="0" applyNumberFormat="1" applyFont="1" applyFill="1" applyBorder="1" applyAlignment="1">
      <alignment horizontal="center"/>
    </xf>
    <xf numFmtId="4" fontId="17" fillId="5" borderId="22" xfId="0" applyNumberFormat="1" applyFont="1" applyFill="1" applyBorder="1" applyAlignment="1">
      <alignment horizontal="center"/>
    </xf>
    <xf numFmtId="4" fontId="17" fillId="0" borderId="22" xfId="0" applyNumberFormat="1" applyFont="1" applyFill="1" applyBorder="1" applyAlignment="1">
      <alignment horizontal="center"/>
    </xf>
    <xf numFmtId="4" fontId="17" fillId="7" borderId="22" xfId="0" applyNumberFormat="1" applyFont="1" applyFill="1" applyBorder="1" applyAlignment="1">
      <alignment horizontal="center"/>
    </xf>
    <xf numFmtId="4" fontId="16" fillId="5" borderId="22" xfId="0" applyNumberFormat="1" applyFont="1" applyFill="1" applyBorder="1" applyAlignment="1">
      <alignment horizontal="center"/>
    </xf>
    <xf numFmtId="0" fontId="0" fillId="0" borderId="22" xfId="0" applyBorder="1"/>
    <xf numFmtId="4" fontId="16" fillId="9" borderId="22" xfId="0" applyNumberFormat="1" applyFont="1" applyFill="1" applyBorder="1" applyAlignment="1">
      <alignment horizontal="center"/>
    </xf>
    <xf numFmtId="4" fontId="16" fillId="4" borderId="22" xfId="0" applyNumberFormat="1" applyFont="1" applyFill="1" applyBorder="1" applyAlignment="1">
      <alignment horizontal="center"/>
    </xf>
    <xf numFmtId="4" fontId="16" fillId="9" borderId="40" xfId="0" applyNumberFormat="1" applyFont="1" applyFill="1" applyBorder="1" applyAlignment="1">
      <alignment horizontal="center"/>
    </xf>
    <xf numFmtId="0" fontId="6" fillId="0" borderId="0"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6" fillId="0" borderId="0"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27" fillId="0" borderId="0" xfId="0" applyFont="1" applyBorder="1" applyAlignment="1">
      <alignment horizontal="center" vertical="center" wrapText="1"/>
    </xf>
    <xf numFmtId="0" fontId="55" fillId="0" borderId="0" xfId="0" applyFont="1" applyAlignment="1">
      <alignment horizontal="left" vertical="top"/>
    </xf>
    <xf numFmtId="4" fontId="70" fillId="8" borderId="3" xfId="0" applyNumberFormat="1" applyFont="1" applyFill="1" applyBorder="1" applyAlignment="1">
      <alignment horizontal="center"/>
    </xf>
    <xf numFmtId="4" fontId="70" fillId="8" borderId="8" xfId="0" applyNumberFormat="1" applyFont="1" applyFill="1" applyBorder="1" applyAlignment="1">
      <alignment horizontal="center"/>
    </xf>
    <xf numFmtId="4" fontId="71" fillId="7" borderId="3" xfId="0" applyNumberFormat="1" applyFont="1" applyFill="1" applyBorder="1" applyAlignment="1">
      <alignment horizontal="center"/>
    </xf>
    <xf numFmtId="4" fontId="71" fillId="7" borderId="8" xfId="0" applyNumberFormat="1" applyFont="1" applyFill="1" applyBorder="1" applyAlignment="1">
      <alignment horizontal="center"/>
    </xf>
    <xf numFmtId="4" fontId="72" fillId="0" borderId="3" xfId="0" applyNumberFormat="1" applyFont="1" applyFill="1" applyBorder="1" applyAlignment="1">
      <alignment horizontal="center"/>
    </xf>
    <xf numFmtId="4" fontId="72" fillId="0" borderId="8" xfId="0" applyNumberFormat="1" applyFont="1" applyFill="1" applyBorder="1" applyAlignment="1">
      <alignment horizontal="center"/>
    </xf>
    <xf numFmtId="4" fontId="70" fillId="5" borderId="3" xfId="0" applyNumberFormat="1" applyFont="1" applyFill="1" applyBorder="1" applyAlignment="1">
      <alignment horizontal="center"/>
    </xf>
    <xf numFmtId="4" fontId="70" fillId="5" borderId="8" xfId="0" applyNumberFormat="1" applyFont="1" applyFill="1" applyBorder="1" applyAlignment="1">
      <alignment horizontal="center"/>
    </xf>
    <xf numFmtId="4" fontId="70" fillId="0" borderId="3" xfId="0" applyNumberFormat="1" applyFont="1" applyFill="1" applyBorder="1" applyAlignment="1">
      <alignment horizontal="center"/>
    </xf>
    <xf numFmtId="4" fontId="70" fillId="0" borderId="8" xfId="0" applyNumberFormat="1" applyFont="1" applyFill="1" applyBorder="1" applyAlignment="1">
      <alignment horizontal="center"/>
    </xf>
    <xf numFmtId="4" fontId="70" fillId="7" borderId="3" xfId="0" applyNumberFormat="1" applyFont="1" applyFill="1" applyBorder="1" applyAlignment="1">
      <alignment horizontal="center"/>
    </xf>
    <xf numFmtId="4" fontId="70" fillId="7" borderId="8" xfId="0" applyNumberFormat="1" applyFont="1" applyFill="1" applyBorder="1" applyAlignment="1">
      <alignment horizontal="center"/>
    </xf>
    <xf numFmtId="4" fontId="72" fillId="5" borderId="3" xfId="0" applyNumberFormat="1" applyFont="1" applyFill="1" applyBorder="1" applyAlignment="1">
      <alignment horizontal="center"/>
    </xf>
    <xf numFmtId="4" fontId="72" fillId="5" borderId="8" xfId="0" applyNumberFormat="1" applyFont="1" applyFill="1" applyBorder="1" applyAlignment="1">
      <alignment horizontal="center"/>
    </xf>
    <xf numFmtId="4" fontId="72" fillId="4" borderId="3" xfId="0" applyNumberFormat="1" applyFont="1" applyFill="1" applyBorder="1" applyAlignment="1">
      <alignment horizontal="center"/>
    </xf>
    <xf numFmtId="4" fontId="72" fillId="4" borderId="8" xfId="0" applyNumberFormat="1" applyFont="1" applyFill="1" applyBorder="1" applyAlignment="1">
      <alignment horizontal="center"/>
    </xf>
    <xf numFmtId="4" fontId="72" fillId="0" borderId="7" xfId="0" applyNumberFormat="1" applyFont="1" applyFill="1" applyBorder="1" applyAlignment="1">
      <alignment horizontal="center"/>
    </xf>
    <xf numFmtId="4" fontId="72" fillId="0" borderId="12" xfId="0" applyNumberFormat="1" applyFont="1" applyFill="1" applyBorder="1" applyAlignment="1">
      <alignment horizontal="center"/>
    </xf>
    <xf numFmtId="4" fontId="74" fillId="0" borderId="17" xfId="0" applyNumberFormat="1" applyFont="1" applyFill="1" applyBorder="1" applyAlignment="1">
      <alignment horizontal="center"/>
    </xf>
    <xf numFmtId="0" fontId="73" fillId="0" borderId="58" xfId="0" applyFont="1" applyBorder="1" applyAlignment="1">
      <alignment vertical="center"/>
    </xf>
    <xf numFmtId="0" fontId="73" fillId="0" borderId="32" xfId="0" applyFont="1" applyBorder="1" applyAlignment="1">
      <alignment vertical="center"/>
    </xf>
    <xf numFmtId="0" fontId="73" fillId="0" borderId="59" xfId="0" applyFont="1" applyBorder="1" applyAlignment="1">
      <alignment vertical="center"/>
    </xf>
    <xf numFmtId="4" fontId="73" fillId="0" borderId="72" xfId="0" applyNumberFormat="1" applyFont="1" applyBorder="1" applyAlignment="1">
      <alignment horizontal="center" vertical="center"/>
    </xf>
    <xf numFmtId="4" fontId="74" fillId="0" borderId="0" xfId="0" applyNumberFormat="1" applyFont="1" applyFill="1" applyBorder="1" applyAlignment="1">
      <alignment horizontal="center"/>
    </xf>
    <xf numFmtId="0" fontId="31" fillId="0" borderId="0" xfId="0" applyFont="1" applyFill="1" applyAlignment="1">
      <alignment horizontal="left"/>
    </xf>
    <xf numFmtId="4" fontId="16" fillId="11" borderId="3" xfId="0" applyNumberFormat="1" applyFont="1" applyFill="1" applyBorder="1" applyAlignment="1">
      <alignment horizontal="center"/>
    </xf>
    <xf numFmtId="4" fontId="16" fillId="7" borderId="3" xfId="0" applyNumberFormat="1" applyFont="1" applyFill="1" applyBorder="1" applyAlignment="1">
      <alignment horizontal="center"/>
    </xf>
    <xf numFmtId="0" fontId="13" fillId="0" borderId="2" xfId="0" applyFont="1" applyBorder="1" applyAlignment="1">
      <alignment horizontal="center" wrapText="1"/>
    </xf>
    <xf numFmtId="0" fontId="3" fillId="0" borderId="2" xfId="0" applyFont="1" applyBorder="1" applyAlignment="1">
      <alignment wrapText="1"/>
    </xf>
    <xf numFmtId="0" fontId="16" fillId="0" borderId="3" xfId="0" applyFont="1" applyFill="1" applyBorder="1" applyAlignment="1">
      <alignment wrapText="1"/>
    </xf>
    <xf numFmtId="0" fontId="17" fillId="7" borderId="6" xfId="0" applyFont="1" applyFill="1" applyBorder="1" applyAlignment="1">
      <alignment wrapText="1"/>
    </xf>
    <xf numFmtId="4" fontId="16" fillId="7" borderId="6" xfId="0" applyNumberFormat="1" applyFont="1" applyFill="1" applyBorder="1" applyAlignment="1">
      <alignment horizontal="center"/>
    </xf>
    <xf numFmtId="0" fontId="76" fillId="0" borderId="0" xfId="0" applyFont="1" applyAlignment="1">
      <alignment horizontal="left"/>
    </xf>
    <xf numFmtId="0" fontId="30" fillId="0" borderId="0" xfId="0" applyFont="1" applyAlignment="1">
      <alignment horizontal="left"/>
    </xf>
    <xf numFmtId="0" fontId="6" fillId="0" borderId="0" xfId="0" applyFont="1" applyBorder="1" applyAlignment="1">
      <alignment horizontal="center" vertical="center"/>
    </xf>
    <xf numFmtId="49" fontId="34" fillId="0" borderId="15" xfId="0" applyNumberFormat="1" applyFont="1" applyFill="1" applyBorder="1" applyAlignment="1">
      <alignment horizontal="center" vertical="center" wrapText="1"/>
    </xf>
    <xf numFmtId="4" fontId="20" fillId="8" borderId="6" xfId="0" applyNumberFormat="1" applyFont="1" applyFill="1" applyBorder="1" applyAlignment="1">
      <alignment horizontal="center"/>
    </xf>
    <xf numFmtId="0" fontId="2" fillId="0" borderId="3" xfId="0" applyFont="1" applyBorder="1" applyAlignment="1">
      <alignment wrapText="1"/>
    </xf>
    <xf numFmtId="0" fontId="2" fillId="5" borderId="3" xfId="0" applyFont="1" applyFill="1" applyBorder="1" applyAlignment="1">
      <alignment wrapText="1"/>
    </xf>
    <xf numFmtId="0" fontId="12" fillId="11" borderId="2" xfId="0" applyFont="1" applyFill="1" applyBorder="1" applyAlignment="1">
      <alignment wrapText="1"/>
    </xf>
    <xf numFmtId="49" fontId="2" fillId="11" borderId="3" xfId="0" applyNumberFormat="1" applyFont="1" applyFill="1" applyBorder="1" applyAlignment="1">
      <alignment horizontal="center" vertical="center" wrapText="1"/>
    </xf>
    <xf numFmtId="49" fontId="10" fillId="11" borderId="3" xfId="0" applyNumberFormat="1" applyFont="1" applyFill="1" applyBorder="1" applyAlignment="1">
      <alignment horizontal="center" vertical="center"/>
    </xf>
    <xf numFmtId="0" fontId="10" fillId="11" borderId="3" xfId="0" applyFont="1" applyFill="1" applyBorder="1" applyAlignment="1">
      <alignment horizontal="center" vertical="center"/>
    </xf>
    <xf numFmtId="4" fontId="74" fillId="0" borderId="73" xfId="0" applyNumberFormat="1" applyFont="1" applyFill="1" applyBorder="1" applyAlignment="1">
      <alignment horizontal="center"/>
    </xf>
    <xf numFmtId="0" fontId="6" fillId="0" borderId="0" xfId="0" applyFont="1" applyBorder="1" applyAlignment="1">
      <alignment horizontal="center" vertical="center"/>
    </xf>
    <xf numFmtId="49" fontId="10" fillId="0" borderId="3" xfId="0" applyNumberFormat="1" applyFont="1" applyBorder="1" applyAlignment="1">
      <alignment horizontal="center" vertical="center"/>
    </xf>
    <xf numFmtId="0" fontId="41" fillId="0" borderId="0" xfId="0" applyFont="1" applyFill="1" applyAlignment="1">
      <alignment horizontal="left"/>
    </xf>
    <xf numFmtId="0" fontId="30" fillId="0" borderId="0" xfId="0" applyFont="1" applyFill="1" applyAlignment="1">
      <alignment horizontal="left"/>
    </xf>
    <xf numFmtId="0" fontId="6" fillId="0" borderId="0" xfId="0" applyFont="1" applyBorder="1" applyAlignment="1">
      <alignment horizontal="center" vertical="center"/>
    </xf>
    <xf numFmtId="49" fontId="10" fillId="0" borderId="3" xfId="0" applyNumberFormat="1" applyFont="1" applyBorder="1" applyAlignment="1">
      <alignment horizontal="center" vertical="center"/>
    </xf>
    <xf numFmtId="49" fontId="34" fillId="0" borderId="17" xfId="0" applyNumberFormat="1" applyFont="1" applyFill="1" applyBorder="1" applyAlignment="1">
      <alignment horizontal="center" vertical="center" wrapText="1"/>
    </xf>
    <xf numFmtId="4" fontId="20" fillId="8" borderId="14" xfId="0" applyNumberFormat="1" applyFont="1" applyFill="1" applyBorder="1" applyAlignment="1">
      <alignment horizontal="center"/>
    </xf>
    <xf numFmtId="49" fontId="10" fillId="0" borderId="3" xfId="0" applyNumberFormat="1" applyFont="1" applyBorder="1" applyAlignment="1">
      <alignment horizontal="center" vertical="center"/>
    </xf>
    <xf numFmtId="0" fontId="13" fillId="0" borderId="33" xfId="0" applyFont="1" applyFill="1" applyBorder="1" applyAlignment="1">
      <alignment vertical="center" wrapText="1"/>
    </xf>
    <xf numFmtId="0" fontId="6" fillId="0" borderId="0" xfId="0" applyFont="1" applyBorder="1" applyAlignment="1">
      <alignment horizontal="center" vertical="center"/>
    </xf>
    <xf numFmtId="49" fontId="10" fillId="0" borderId="3" xfId="0" applyNumberFormat="1" applyFont="1" applyBorder="1" applyAlignment="1">
      <alignment horizontal="center" vertical="center"/>
    </xf>
    <xf numFmtId="4" fontId="16" fillId="10" borderId="3" xfId="0" applyNumberFormat="1" applyFont="1" applyFill="1" applyBorder="1" applyAlignment="1">
      <alignment horizontal="center"/>
    </xf>
    <xf numFmtId="4" fontId="16" fillId="7" borderId="8" xfId="0" applyNumberFormat="1" applyFont="1" applyFill="1" applyBorder="1" applyAlignment="1">
      <alignment horizontal="center"/>
    </xf>
    <xf numFmtId="49" fontId="10" fillId="0" borderId="3"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2" fillId="0" borderId="4" xfId="0" applyFont="1" applyBorder="1" applyAlignment="1">
      <alignment horizontal="center" vertical="center" wrapText="1"/>
    </xf>
    <xf numFmtId="0" fontId="6" fillId="0" borderId="0"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34" fillId="0" borderId="20" xfId="0" applyNumberFormat="1" applyFont="1" applyFill="1" applyBorder="1" applyAlignment="1">
      <alignment horizontal="center" vertical="center" wrapText="1"/>
    </xf>
    <xf numFmtId="4" fontId="20" fillId="8" borderId="30" xfId="0" applyNumberFormat="1" applyFont="1" applyFill="1" applyBorder="1" applyAlignment="1">
      <alignment horizontal="center"/>
    </xf>
    <xf numFmtId="0" fontId="13" fillId="0" borderId="5" xfId="0" applyFont="1" applyBorder="1" applyAlignment="1">
      <alignment wrapText="1"/>
    </xf>
    <xf numFmtId="49" fontId="2"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4" fontId="16" fillId="0" borderId="6" xfId="0" applyNumberFormat="1" applyFont="1" applyFill="1" applyBorder="1" applyAlignment="1">
      <alignment horizontal="center"/>
    </xf>
    <xf numFmtId="0" fontId="13" fillId="0" borderId="10" xfId="0" applyFont="1" applyBorder="1" applyAlignment="1">
      <alignment wrapText="1"/>
    </xf>
    <xf numFmtId="0" fontId="83" fillId="0" borderId="4" xfId="0" applyFont="1" applyBorder="1" applyAlignment="1">
      <alignment horizontal="center" vertical="center" wrapText="1"/>
    </xf>
    <xf numFmtId="0" fontId="83" fillId="0" borderId="31" xfId="0" applyFont="1" applyBorder="1" applyAlignment="1">
      <alignment horizontal="center" vertical="center" wrapText="1"/>
    </xf>
    <xf numFmtId="0" fontId="31" fillId="9" borderId="0" xfId="0" applyFont="1" applyFill="1" applyAlignment="1">
      <alignment horizontal="left"/>
    </xf>
    <xf numFmtId="0" fontId="41" fillId="9" borderId="0" xfId="0" applyFont="1" applyFill="1" applyAlignment="1">
      <alignment horizontal="center" vertical="top"/>
    </xf>
    <xf numFmtId="0" fontId="30" fillId="9" borderId="0" xfId="0" applyFont="1" applyFill="1" applyBorder="1" applyAlignment="1">
      <alignment horizontal="center"/>
    </xf>
    <xf numFmtId="0" fontId="30" fillId="9" borderId="0" xfId="0" applyFont="1" applyFill="1" applyAlignment="1">
      <alignment horizontal="center" vertical="top"/>
    </xf>
    <xf numFmtId="0" fontId="30" fillId="9" borderId="0" xfId="0" applyFont="1" applyFill="1" applyAlignment="1">
      <alignment horizontal="right"/>
    </xf>
    <xf numFmtId="0" fontId="30" fillId="9" borderId="0" xfId="0" applyFont="1" applyFill="1" applyAlignment="1">
      <alignment horizontal="left"/>
    </xf>
    <xf numFmtId="0" fontId="42" fillId="9" borderId="0" xfId="0" applyFont="1" applyFill="1" applyAlignment="1"/>
    <xf numFmtId="0" fontId="42" fillId="9" borderId="0" xfId="0" applyFont="1" applyFill="1" applyAlignment="1">
      <alignment horizontal="left"/>
    </xf>
    <xf numFmtId="0" fontId="57" fillId="9" borderId="0" xfId="0" applyFont="1" applyFill="1" applyAlignment="1">
      <alignment horizontal="left"/>
    </xf>
    <xf numFmtId="0" fontId="57" fillId="9" borderId="0" xfId="0" applyFont="1" applyFill="1" applyAlignment="1"/>
    <xf numFmtId="0" fontId="57" fillId="9" borderId="0" xfId="0" applyFont="1" applyFill="1" applyAlignment="1">
      <alignment horizontal="right"/>
    </xf>
    <xf numFmtId="0" fontId="42" fillId="9" borderId="0" xfId="0" applyFont="1" applyFill="1" applyAlignment="1">
      <alignment horizontal="center"/>
    </xf>
    <xf numFmtId="0" fontId="57" fillId="9" borderId="0" xfId="0" applyFont="1" applyFill="1" applyAlignment="1">
      <alignment horizontal="center"/>
    </xf>
    <xf numFmtId="49" fontId="57" fillId="9" borderId="0" xfId="0" applyNumberFormat="1" applyFont="1" applyFill="1" applyAlignment="1">
      <alignment horizontal="right"/>
    </xf>
    <xf numFmtId="0" fontId="59" fillId="9" borderId="0" xfId="0" applyFont="1" applyFill="1" applyAlignment="1">
      <alignment horizontal="left"/>
    </xf>
    <xf numFmtId="0" fontId="55" fillId="9" borderId="0" xfId="0" applyFont="1" applyFill="1" applyAlignment="1">
      <alignment horizontal="right"/>
    </xf>
    <xf numFmtId="0" fontId="55" fillId="9" borderId="0" xfId="0" applyFont="1" applyFill="1" applyAlignment="1">
      <alignment horizontal="left"/>
    </xf>
    <xf numFmtId="0" fontId="31" fillId="9" borderId="0" xfId="0" applyFont="1" applyFill="1" applyAlignment="1">
      <alignment horizontal="right"/>
    </xf>
    <xf numFmtId="0" fontId="31" fillId="9" borderId="0" xfId="0" applyFont="1" applyFill="1" applyBorder="1" applyAlignment="1">
      <alignment horizontal="center"/>
    </xf>
    <xf numFmtId="0" fontId="68" fillId="9" borderId="0" xfId="0" applyFont="1" applyFill="1" applyAlignment="1">
      <alignment vertical="center"/>
    </xf>
    <xf numFmtId="0" fontId="56" fillId="9" borderId="0" xfId="0" applyFont="1" applyFill="1"/>
    <xf numFmtId="0" fontId="3" fillId="9" borderId="0" xfId="0" applyFont="1" applyFill="1"/>
    <xf numFmtId="0" fontId="32" fillId="9" borderId="0" xfId="0" applyFont="1" applyFill="1" applyAlignment="1">
      <alignment horizontal="left"/>
    </xf>
    <xf numFmtId="0" fontId="55" fillId="9" borderId="41" xfId="0" applyFont="1" applyFill="1" applyBorder="1" applyAlignment="1">
      <alignment horizontal="left" indent="2"/>
    </xf>
    <xf numFmtId="0" fontId="55" fillId="9" borderId="29" xfId="0" applyFont="1" applyFill="1" applyBorder="1" applyAlignment="1">
      <alignment horizontal="left" indent="2"/>
    </xf>
    <xf numFmtId="0" fontId="55" fillId="9" borderId="54" xfId="0" applyFont="1" applyFill="1" applyBorder="1" applyAlignment="1">
      <alignment horizontal="left" indent="2"/>
    </xf>
    <xf numFmtId="4" fontId="55" fillId="9" borderId="49" xfId="0" applyNumberFormat="1" applyFont="1" applyFill="1" applyBorder="1" applyAlignment="1">
      <alignment horizontal="center"/>
    </xf>
    <xf numFmtId="4" fontId="55" fillId="9" borderId="37" xfId="0" applyNumberFormat="1" applyFont="1" applyFill="1" applyBorder="1" applyAlignment="1">
      <alignment horizontal="center"/>
    </xf>
    <xf numFmtId="4" fontId="55" fillId="9" borderId="53" xfId="0" applyNumberFormat="1" applyFont="1" applyFill="1" applyBorder="1" applyAlignment="1">
      <alignment horizontal="center"/>
    </xf>
    <xf numFmtId="0" fontId="55" fillId="9" borderId="36" xfId="0" applyFont="1" applyFill="1" applyBorder="1" applyAlignment="1">
      <alignment horizontal="left" indent="2"/>
    </xf>
    <xf numFmtId="0" fontId="55" fillId="9" borderId="37" xfId="0" applyFont="1" applyFill="1" applyBorder="1" applyAlignment="1">
      <alignment horizontal="left" indent="2"/>
    </xf>
    <xf numFmtId="0" fontId="55" fillId="9" borderId="37" xfId="0" applyNumberFormat="1" applyFont="1" applyFill="1" applyBorder="1" applyAlignment="1">
      <alignment horizontal="center"/>
    </xf>
    <xf numFmtId="0" fontId="55" fillId="9" borderId="53" xfId="0" applyNumberFormat="1" applyFont="1" applyFill="1" applyBorder="1" applyAlignment="1">
      <alignment horizontal="center"/>
    </xf>
    <xf numFmtId="49" fontId="55" fillId="9" borderId="55" xfId="0" applyNumberFormat="1" applyFont="1" applyFill="1" applyBorder="1" applyAlignment="1">
      <alignment horizontal="center"/>
    </xf>
    <xf numFmtId="49" fontId="55" fillId="9" borderId="29" xfId="0" applyNumberFormat="1" applyFont="1" applyFill="1" applyBorder="1" applyAlignment="1">
      <alignment horizontal="center"/>
    </xf>
    <xf numFmtId="49" fontId="55" fillId="9" borderId="30" xfId="0" applyNumberFormat="1" applyFont="1" applyFill="1" applyBorder="1" applyAlignment="1">
      <alignment horizontal="center"/>
    </xf>
    <xf numFmtId="0" fontId="55" fillId="9" borderId="55" xfId="0" applyNumberFormat="1" applyFont="1" applyFill="1" applyBorder="1" applyAlignment="1">
      <alignment horizontal="center"/>
    </xf>
    <xf numFmtId="0" fontId="55" fillId="9" borderId="29" xfId="0" applyNumberFormat="1" applyFont="1" applyFill="1" applyBorder="1" applyAlignment="1">
      <alignment horizontal="center"/>
    </xf>
    <xf numFmtId="0" fontId="55" fillId="9" borderId="30" xfId="0" applyNumberFormat="1" applyFont="1" applyFill="1" applyBorder="1" applyAlignment="1">
      <alignment horizontal="center"/>
    </xf>
    <xf numFmtId="0" fontId="55" fillId="9" borderId="54" xfId="0" applyNumberFormat="1" applyFont="1" applyFill="1" applyBorder="1" applyAlignment="1">
      <alignment horizontal="center"/>
    </xf>
    <xf numFmtId="0" fontId="76" fillId="9" borderId="0" xfId="0" applyFont="1" applyFill="1" applyAlignment="1">
      <alignment horizontal="left"/>
    </xf>
    <xf numFmtId="0" fontId="44" fillId="9" borderId="29" xfId="0" applyFont="1" applyFill="1" applyBorder="1" applyAlignment="1">
      <alignment horizontal="left"/>
    </xf>
    <xf numFmtId="0" fontId="44" fillId="9" borderId="0" xfId="0" applyFont="1" applyFill="1" applyAlignment="1">
      <alignment horizontal="left"/>
    </xf>
    <xf numFmtId="0" fontId="45" fillId="9" borderId="0" xfId="0" applyFont="1" applyFill="1" applyAlignment="1">
      <alignment horizontal="left" vertical="center"/>
    </xf>
    <xf numFmtId="0" fontId="44" fillId="9" borderId="0" xfId="0" applyFont="1" applyFill="1" applyAlignment="1">
      <alignment horizontal="left" vertical="center"/>
    </xf>
    <xf numFmtId="49" fontId="30" fillId="9" borderId="49" xfId="0" applyNumberFormat="1" applyFont="1" applyFill="1" applyBorder="1" applyAlignment="1">
      <alignment horizontal="center"/>
    </xf>
    <xf numFmtId="49" fontId="30" fillId="9" borderId="37" xfId="0" applyNumberFormat="1" applyFont="1" applyFill="1" applyBorder="1" applyAlignment="1">
      <alignment horizontal="center"/>
    </xf>
    <xf numFmtId="49" fontId="30" fillId="9" borderId="38" xfId="0" applyNumberFormat="1" applyFont="1" applyFill="1" applyBorder="1" applyAlignment="1">
      <alignment horizontal="center"/>
    </xf>
    <xf numFmtId="49" fontId="30" fillId="9" borderId="52" xfId="0" applyNumberFormat="1" applyFont="1" applyFill="1" applyBorder="1" applyAlignment="1">
      <alignment horizontal="center"/>
    </xf>
    <xf numFmtId="49" fontId="30" fillId="9" borderId="0" xfId="0" applyNumberFormat="1" applyFont="1" applyFill="1" applyBorder="1" applyAlignment="1">
      <alignment horizontal="center"/>
    </xf>
    <xf numFmtId="49" fontId="30" fillId="9" borderId="47" xfId="0" applyNumberFormat="1" applyFont="1" applyFill="1" applyBorder="1" applyAlignment="1">
      <alignment horizontal="center"/>
    </xf>
    <xf numFmtId="49" fontId="30" fillId="9" borderId="55" xfId="0" applyNumberFormat="1" applyFont="1" applyFill="1" applyBorder="1" applyAlignment="1">
      <alignment horizontal="center"/>
    </xf>
    <xf numFmtId="49" fontId="30" fillId="9" borderId="29" xfId="0" applyNumberFormat="1" applyFont="1" applyFill="1" applyBorder="1" applyAlignment="1">
      <alignment horizontal="center"/>
    </xf>
    <xf numFmtId="49" fontId="30" fillId="9" borderId="30" xfId="0" applyNumberFormat="1" applyFont="1" applyFill="1" applyBorder="1" applyAlignment="1">
      <alignment horizontal="center"/>
    </xf>
    <xf numFmtId="49" fontId="31" fillId="9" borderId="55" xfId="0" applyNumberFormat="1" applyFont="1" applyFill="1" applyBorder="1" applyAlignment="1">
      <alignment horizontal="center"/>
    </xf>
    <xf numFmtId="49" fontId="31" fillId="9" borderId="29" xfId="0" applyNumberFormat="1" applyFont="1" applyFill="1" applyBorder="1" applyAlignment="1">
      <alignment horizontal="center"/>
    </xf>
    <xf numFmtId="49" fontId="31" fillId="9" borderId="30" xfId="0" applyNumberFormat="1" applyFont="1" applyFill="1" applyBorder="1" applyAlignment="1">
      <alignment horizontal="center"/>
    </xf>
    <xf numFmtId="4" fontId="31" fillId="9" borderId="55" xfId="0" applyNumberFormat="1" applyFont="1" applyFill="1" applyBorder="1" applyAlignment="1">
      <alignment horizontal="center"/>
    </xf>
    <xf numFmtId="4" fontId="31" fillId="9" borderId="29" xfId="0" applyNumberFormat="1" applyFont="1" applyFill="1" applyBorder="1" applyAlignment="1">
      <alignment horizontal="center"/>
    </xf>
    <xf numFmtId="4" fontId="31" fillId="9" borderId="30" xfId="0" applyNumberFormat="1" applyFont="1" applyFill="1" applyBorder="1" applyAlignment="1">
      <alignment horizontal="center"/>
    </xf>
    <xf numFmtId="4" fontId="31" fillId="9" borderId="54" xfId="0" applyNumberFormat="1" applyFont="1" applyFill="1" applyBorder="1" applyAlignment="1">
      <alignment horizontal="center"/>
    </xf>
    <xf numFmtId="49" fontId="31" fillId="9" borderId="21" xfId="0" applyNumberFormat="1" applyFont="1" applyFill="1" applyBorder="1" applyAlignment="1">
      <alignment horizontal="center"/>
    </xf>
    <xf numFmtId="49" fontId="31" fillId="9" borderId="24" xfId="0" applyNumberFormat="1" applyFont="1" applyFill="1" applyBorder="1" applyAlignment="1">
      <alignment horizontal="center"/>
    </xf>
    <xf numFmtId="49" fontId="31" fillId="9" borderId="22" xfId="0" applyNumberFormat="1" applyFont="1" applyFill="1" applyBorder="1" applyAlignment="1">
      <alignment horizontal="center"/>
    </xf>
    <xf numFmtId="0" fontId="31" fillId="9" borderId="55" xfId="0" applyFont="1" applyFill="1" applyBorder="1" applyAlignment="1">
      <alignment horizontal="left" indent="3"/>
    </xf>
    <xf numFmtId="0" fontId="31" fillId="9" borderId="29" xfId="0" applyFont="1" applyFill="1" applyBorder="1" applyAlignment="1">
      <alignment horizontal="left" indent="3"/>
    </xf>
    <xf numFmtId="4" fontId="55" fillId="9" borderId="55" xfId="0" applyNumberFormat="1" applyFont="1" applyFill="1" applyBorder="1" applyAlignment="1">
      <alignment horizontal="center"/>
    </xf>
    <xf numFmtId="4" fontId="55" fillId="9" borderId="29" xfId="0" applyNumberFormat="1" applyFont="1" applyFill="1" applyBorder="1" applyAlignment="1">
      <alignment horizontal="center"/>
    </xf>
    <xf numFmtId="4" fontId="55" fillId="9" borderId="30" xfId="0" applyNumberFormat="1" applyFont="1" applyFill="1" applyBorder="1" applyAlignment="1">
      <alignment horizontal="center"/>
    </xf>
    <xf numFmtId="4" fontId="55" fillId="9" borderId="54" xfId="0" applyNumberFormat="1" applyFont="1" applyFill="1" applyBorder="1" applyAlignment="1">
      <alignment horizontal="center"/>
    </xf>
    <xf numFmtId="49" fontId="31" fillId="9" borderId="49" xfId="0" applyNumberFormat="1" applyFont="1" applyFill="1" applyBorder="1" applyAlignment="1">
      <alignment horizontal="center"/>
    </xf>
    <xf numFmtId="49" fontId="31" fillId="9" borderId="37" xfId="0" applyNumberFormat="1" applyFont="1" applyFill="1" applyBorder="1" applyAlignment="1">
      <alignment horizontal="center"/>
    </xf>
    <xf numFmtId="49" fontId="31" fillId="9" borderId="38" xfId="0" applyNumberFormat="1" applyFont="1" applyFill="1" applyBorder="1" applyAlignment="1">
      <alignment horizontal="center"/>
    </xf>
    <xf numFmtId="0" fontId="31" fillId="9" borderId="24" xfId="0" applyFont="1" applyFill="1" applyBorder="1" applyAlignment="1">
      <alignment horizontal="left" indent="3"/>
    </xf>
    <xf numFmtId="4" fontId="55" fillId="9" borderId="23" xfId="0" applyNumberFormat="1" applyFont="1" applyFill="1" applyBorder="1" applyAlignment="1">
      <alignment horizontal="center"/>
    </xf>
    <xf numFmtId="4" fontId="55" fillId="9" borderId="24" xfId="0" applyNumberFormat="1" applyFont="1" applyFill="1" applyBorder="1" applyAlignment="1">
      <alignment horizontal="center"/>
    </xf>
    <xf numFmtId="4" fontId="55" fillId="9" borderId="25" xfId="0" applyNumberFormat="1" applyFont="1" applyFill="1" applyBorder="1" applyAlignment="1">
      <alignment horizontal="center"/>
    </xf>
    <xf numFmtId="49" fontId="30" fillId="9" borderId="49" xfId="0" applyNumberFormat="1" applyFont="1" applyFill="1" applyBorder="1" applyAlignment="1"/>
    <xf numFmtId="49" fontId="30" fillId="9" borderId="37" xfId="0" applyNumberFormat="1" applyFont="1" applyFill="1" applyBorder="1" applyAlignment="1"/>
    <xf numFmtId="49" fontId="30" fillId="9" borderId="38" xfId="0" applyNumberFormat="1" applyFont="1" applyFill="1" applyBorder="1" applyAlignment="1"/>
    <xf numFmtId="4" fontId="30" fillId="9" borderId="49" xfId="0" applyNumberFormat="1" applyFont="1" applyFill="1" applyBorder="1" applyAlignment="1"/>
    <xf numFmtId="4" fontId="30" fillId="9" borderId="37" xfId="0" applyNumberFormat="1" applyFont="1" applyFill="1" applyBorder="1" applyAlignment="1"/>
    <xf numFmtId="4" fontId="30" fillId="9" borderId="38" xfId="0" applyNumberFormat="1" applyFont="1" applyFill="1" applyBorder="1" applyAlignment="1"/>
    <xf numFmtId="4" fontId="30" fillId="9" borderId="53" xfId="0" applyNumberFormat="1" applyFont="1" applyFill="1" applyBorder="1" applyAlignment="1"/>
    <xf numFmtId="49" fontId="30" fillId="9" borderId="23" xfId="0" applyNumberFormat="1" applyFont="1" applyFill="1" applyBorder="1" applyAlignment="1">
      <alignment horizontal="center"/>
    </xf>
    <xf numFmtId="49" fontId="30" fillId="9" borderId="24" xfId="0" applyNumberFormat="1" applyFont="1" applyFill="1" applyBorder="1" applyAlignment="1">
      <alignment horizontal="center"/>
    </xf>
    <xf numFmtId="49" fontId="30" fillId="9" borderId="22" xfId="0" applyNumberFormat="1" applyFont="1" applyFill="1" applyBorder="1" applyAlignment="1">
      <alignment horizontal="center"/>
    </xf>
    <xf numFmtId="0" fontId="30" fillId="9" borderId="0" xfId="0" applyFont="1" applyFill="1" applyBorder="1" applyAlignment="1">
      <alignment horizontal="left" indent="4"/>
    </xf>
    <xf numFmtId="49" fontId="30" fillId="9" borderId="55" xfId="0" applyNumberFormat="1" applyFont="1" applyFill="1" applyBorder="1" applyAlignment="1"/>
    <xf numFmtId="49" fontId="30" fillId="9" borderId="29" xfId="0" applyNumberFormat="1" applyFont="1" applyFill="1" applyBorder="1" applyAlignment="1"/>
    <xf numFmtId="49" fontId="30" fillId="9" borderId="30" xfId="0" applyNumberFormat="1" applyFont="1" applyFill="1" applyBorder="1" applyAlignment="1"/>
    <xf numFmtId="4" fontId="30" fillId="9" borderId="55" xfId="0" applyNumberFormat="1" applyFont="1" applyFill="1" applyBorder="1" applyAlignment="1"/>
    <xf numFmtId="4" fontId="30" fillId="9" borderId="29" xfId="0" applyNumberFormat="1" applyFont="1" applyFill="1" applyBorder="1" applyAlignment="1"/>
    <xf numFmtId="4" fontId="30" fillId="9" borderId="30" xfId="0" applyNumberFormat="1" applyFont="1" applyFill="1" applyBorder="1" applyAlignment="1"/>
    <xf numFmtId="4" fontId="30" fillId="9" borderId="54" xfId="0" applyNumberFormat="1" applyFont="1" applyFill="1" applyBorder="1" applyAlignment="1"/>
    <xf numFmtId="49" fontId="30" fillId="9" borderId="50" xfId="0" applyNumberFormat="1" applyFont="1" applyFill="1" applyBorder="1" applyAlignment="1">
      <alignment horizontal="center"/>
    </xf>
    <xf numFmtId="49" fontId="30" fillId="9" borderId="32" xfId="0" applyNumberFormat="1" applyFont="1" applyFill="1" applyBorder="1" applyAlignment="1">
      <alignment horizontal="center"/>
    </xf>
    <xf numFmtId="49" fontId="30" fillId="9" borderId="51" xfId="0" applyNumberFormat="1" applyFont="1" applyFill="1" applyBorder="1" applyAlignment="1">
      <alignment horizontal="center"/>
    </xf>
    <xf numFmtId="0" fontId="55" fillId="9" borderId="0" xfId="0" applyFont="1" applyFill="1" applyBorder="1" applyAlignment="1"/>
    <xf numFmtId="0" fontId="55" fillId="9" borderId="0" xfId="0" applyFont="1" applyFill="1" applyBorder="1" applyAlignment="1">
      <alignment vertical="top"/>
    </xf>
    <xf numFmtId="0" fontId="55" fillId="9" borderId="0" xfId="0" applyFont="1" applyFill="1" applyBorder="1" applyAlignment="1">
      <alignment horizontal="right" vertical="top"/>
    </xf>
    <xf numFmtId="0" fontId="55" fillId="9" borderId="0" xfId="0" applyFont="1" applyFill="1" applyBorder="1" applyAlignment="1">
      <alignment horizontal="center" vertical="top"/>
    </xf>
    <xf numFmtId="0" fontId="55" fillId="9" borderId="0" xfId="0" applyFont="1" applyFill="1" applyBorder="1" applyAlignment="1">
      <alignment horizontal="left"/>
    </xf>
    <xf numFmtId="0" fontId="55" fillId="9" borderId="60" xfId="0" applyFont="1" applyFill="1" applyBorder="1" applyAlignment="1">
      <alignment horizontal="left"/>
    </xf>
    <xf numFmtId="0" fontId="55" fillId="9" borderId="61" xfId="0" applyFont="1" applyFill="1" applyBorder="1" applyAlignment="1">
      <alignment horizontal="left"/>
    </xf>
    <xf numFmtId="0" fontId="55" fillId="9" borderId="62" xfId="0" applyFont="1" applyFill="1" applyBorder="1" applyAlignment="1">
      <alignment horizontal="left"/>
    </xf>
    <xf numFmtId="0" fontId="55" fillId="9" borderId="63" xfId="0" applyFont="1" applyFill="1" applyBorder="1" applyAlignment="1">
      <alignment horizontal="left"/>
    </xf>
    <xf numFmtId="0" fontId="55" fillId="9" borderId="64" xfId="0" applyFont="1" applyFill="1" applyBorder="1" applyAlignment="1">
      <alignment horizontal="left"/>
    </xf>
    <xf numFmtId="0" fontId="55" fillId="9" borderId="0" xfId="0" applyFont="1" applyFill="1" applyBorder="1" applyAlignment="1">
      <alignment horizontal="right"/>
    </xf>
    <xf numFmtId="0" fontId="55" fillId="9" borderId="65" xfId="0" applyFont="1" applyFill="1" applyBorder="1" applyAlignment="1">
      <alignment horizontal="left"/>
    </xf>
    <xf numFmtId="0" fontId="55" fillId="9" borderId="66" xfId="0" applyFont="1" applyFill="1" applyBorder="1" applyAlignment="1">
      <alignment horizontal="left"/>
    </xf>
    <xf numFmtId="0" fontId="55" fillId="9" borderId="67" xfId="0" applyFont="1" applyFill="1" applyBorder="1" applyAlignment="1">
      <alignment horizontal="left"/>
    </xf>
    <xf numFmtId="49" fontId="10" fillId="0" borderId="3" xfId="0" applyNumberFormat="1" applyFont="1" applyBorder="1" applyAlignment="1">
      <alignment horizontal="center" vertical="center"/>
    </xf>
    <xf numFmtId="49" fontId="83" fillId="6" borderId="7" xfId="0" applyNumberFormat="1" applyFont="1" applyFill="1" applyBorder="1" applyAlignment="1">
      <alignment horizontal="center" vertical="center" wrapText="1"/>
    </xf>
    <xf numFmtId="4" fontId="16" fillId="13" borderId="3" xfId="0" applyNumberFormat="1" applyFont="1" applyFill="1" applyBorder="1" applyAlignment="1">
      <alignment horizontal="center"/>
    </xf>
    <xf numFmtId="4" fontId="16" fillId="10" borderId="8" xfId="0" applyNumberFormat="1" applyFont="1" applyFill="1" applyBorder="1" applyAlignment="1">
      <alignment horizontal="center"/>
    </xf>
    <xf numFmtId="49" fontId="10" fillId="0" borderId="3" xfId="0" applyNumberFormat="1" applyFont="1" applyBorder="1" applyAlignment="1">
      <alignment horizontal="center" vertical="center"/>
    </xf>
    <xf numFmtId="4" fontId="31" fillId="9" borderId="0" xfId="0" applyNumberFormat="1" applyFont="1" applyFill="1" applyAlignment="1">
      <alignment horizontal="left"/>
    </xf>
    <xf numFmtId="4" fontId="72" fillId="6" borderId="3" xfId="0" applyNumberFormat="1" applyFont="1" applyFill="1" applyBorder="1" applyAlignment="1">
      <alignment horizontal="center"/>
    </xf>
    <xf numFmtId="0" fontId="55" fillId="0" borderId="0" xfId="0" applyFont="1" applyBorder="1" applyAlignment="1"/>
    <xf numFmtId="0" fontId="55" fillId="0" borderId="63" xfId="0" applyFont="1" applyBorder="1" applyAlignment="1">
      <alignment horizontal="left"/>
    </xf>
    <xf numFmtId="0" fontId="55" fillId="0" borderId="64" xfId="0" applyFont="1" applyBorder="1" applyAlignment="1">
      <alignment horizontal="left"/>
    </xf>
    <xf numFmtId="0" fontId="55" fillId="0" borderId="63" xfId="0" applyFont="1" applyBorder="1" applyAlignment="1">
      <alignment horizontal="left" vertical="top"/>
    </xf>
    <xf numFmtId="0" fontId="55" fillId="0" borderId="64" xfId="0" applyFont="1" applyBorder="1" applyAlignment="1">
      <alignment horizontal="left" vertical="top"/>
    </xf>
    <xf numFmtId="0" fontId="55" fillId="0" borderId="0" xfId="0" applyFont="1" applyBorder="1" applyAlignment="1">
      <alignment horizontal="left"/>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4" fontId="16" fillId="0" borderId="14" xfId="0" applyNumberFormat="1" applyFont="1" applyFill="1" applyBorder="1" applyAlignment="1">
      <alignment horizontal="center"/>
    </xf>
    <xf numFmtId="4" fontId="91" fillId="0" borderId="0" xfId="0" applyNumberFormat="1" applyFont="1" applyAlignment="1">
      <alignment horizont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4" fontId="16" fillId="16" borderId="3" xfId="0" applyNumberFormat="1" applyFont="1" applyFill="1" applyBorder="1" applyAlignment="1">
      <alignment horizontal="center"/>
    </xf>
    <xf numFmtId="4" fontId="16" fillId="14" borderId="3" xfId="0" applyNumberFormat="1" applyFont="1" applyFill="1" applyBorder="1" applyAlignment="1">
      <alignment horizontal="center"/>
    </xf>
    <xf numFmtId="0" fontId="55" fillId="9" borderId="21" xfId="0" applyFont="1" applyFill="1" applyBorder="1" applyAlignment="1">
      <alignment horizontal="left" indent="2"/>
    </xf>
    <xf numFmtId="0" fontId="55" fillId="9" borderId="24" xfId="0" applyFont="1" applyFill="1" applyBorder="1" applyAlignment="1">
      <alignment horizontal="left" indent="2"/>
    </xf>
    <xf numFmtId="49" fontId="55" fillId="9" borderId="2" xfId="0" applyNumberFormat="1" applyFont="1" applyFill="1" applyBorder="1" applyAlignment="1">
      <alignment horizontal="center"/>
    </xf>
    <xf numFmtId="49" fontId="55" fillId="9" borderId="3" xfId="0" applyNumberFormat="1" applyFont="1" applyFill="1" applyBorder="1" applyAlignment="1">
      <alignment horizontal="center"/>
    </xf>
    <xf numFmtId="4" fontId="55" fillId="9" borderId="3" xfId="0" applyNumberFormat="1" applyFont="1" applyFill="1" applyBorder="1" applyAlignment="1">
      <alignment horizontal="center"/>
    </xf>
    <xf numFmtId="0" fontId="55" fillId="9" borderId="3" xfId="0" applyNumberFormat="1" applyFont="1" applyFill="1" applyBorder="1" applyAlignment="1">
      <alignment horizontal="center"/>
    </xf>
    <xf numFmtId="0" fontId="55" fillId="9" borderId="23" xfId="0" applyNumberFormat="1" applyFont="1" applyFill="1" applyBorder="1" applyAlignment="1">
      <alignment horizontal="right"/>
    </xf>
    <xf numFmtId="0" fontId="55" fillId="9" borderId="24" xfId="0" applyNumberFormat="1" applyFont="1" applyFill="1" applyBorder="1" applyAlignment="1">
      <alignment horizontal="right"/>
    </xf>
    <xf numFmtId="0" fontId="55" fillId="9" borderId="25" xfId="0" applyNumberFormat="1" applyFont="1" applyFill="1" applyBorder="1" applyAlignment="1">
      <alignment horizontal="right"/>
    </xf>
    <xf numFmtId="4" fontId="55" fillId="9" borderId="23" xfId="0" applyNumberFormat="1" applyFont="1" applyFill="1" applyBorder="1" applyAlignment="1">
      <alignment horizontal="center"/>
    </xf>
    <xf numFmtId="4" fontId="55" fillId="9" borderId="24" xfId="0" applyNumberFormat="1" applyFont="1" applyFill="1" applyBorder="1" applyAlignment="1">
      <alignment horizontal="center"/>
    </xf>
    <xf numFmtId="4" fontId="55" fillId="9" borderId="22" xfId="0" applyNumberFormat="1" applyFont="1" applyFill="1" applyBorder="1" applyAlignment="1">
      <alignment horizontal="center"/>
    </xf>
    <xf numFmtId="0" fontId="56" fillId="9" borderId="0" xfId="0" applyFont="1" applyFill="1" applyAlignment="1">
      <alignment horizontal="center"/>
    </xf>
    <xf numFmtId="0" fontId="56" fillId="9" borderId="29" xfId="0" applyFont="1" applyFill="1" applyBorder="1" applyAlignment="1">
      <alignment horizontal="center"/>
    </xf>
    <xf numFmtId="0" fontId="31" fillId="9" borderId="0" xfId="0" applyFont="1" applyFill="1" applyAlignment="1">
      <alignment horizontal="center" vertical="top"/>
    </xf>
    <xf numFmtId="0" fontId="30" fillId="9" borderId="29" xfId="0" applyFont="1" applyFill="1" applyBorder="1" applyAlignment="1">
      <alignment horizontal="center"/>
    </xf>
    <xf numFmtId="0" fontId="55" fillId="9" borderId="29" xfId="0" applyFont="1" applyFill="1" applyBorder="1" applyAlignment="1">
      <alignment horizontal="center"/>
    </xf>
    <xf numFmtId="0" fontId="30" fillId="9" borderId="37" xfId="0" applyFont="1" applyFill="1" applyBorder="1" applyAlignment="1">
      <alignment horizontal="center" vertical="top"/>
    </xf>
    <xf numFmtId="49" fontId="55" fillId="9" borderId="29" xfId="0" applyNumberFormat="1" applyFont="1" applyFill="1" applyBorder="1" applyAlignment="1">
      <alignment horizontal="center"/>
    </xf>
    <xf numFmtId="49" fontId="56" fillId="9" borderId="29" xfId="0" applyNumberFormat="1" applyFont="1" applyFill="1" applyBorder="1" applyAlignment="1">
      <alignment horizontal="center"/>
    </xf>
    <xf numFmtId="0" fontId="55" fillId="9" borderId="0" xfId="0" applyFont="1" applyFill="1" applyAlignment="1">
      <alignment horizontal="right"/>
    </xf>
    <xf numFmtId="49" fontId="55" fillId="9" borderId="29" xfId="0" applyNumberFormat="1" applyFont="1" applyFill="1" applyBorder="1" applyAlignment="1">
      <alignment horizontal="left"/>
    </xf>
    <xf numFmtId="49" fontId="57" fillId="9" borderId="29" xfId="0" applyNumberFormat="1" applyFont="1" applyFill="1" applyBorder="1" applyAlignment="1">
      <alignment horizontal="left"/>
    </xf>
    <xf numFmtId="0" fontId="31" fillId="9" borderId="9"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1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8" xfId="0" applyFont="1" applyFill="1" applyBorder="1" applyAlignment="1">
      <alignment horizontal="center" vertical="center"/>
    </xf>
    <xf numFmtId="1" fontId="55" fillId="9" borderId="29" xfId="0" applyNumberFormat="1" applyFont="1" applyFill="1" applyBorder="1" applyAlignment="1">
      <alignment horizontal="center"/>
    </xf>
    <xf numFmtId="1" fontId="55" fillId="9" borderId="29" xfId="0" applyNumberFormat="1" applyFont="1" applyFill="1" applyBorder="1" applyAlignment="1">
      <alignment horizontal="left"/>
    </xf>
    <xf numFmtId="49" fontId="30" fillId="9" borderId="2" xfId="0" applyNumberFormat="1" applyFont="1" applyFill="1" applyBorder="1" applyAlignment="1">
      <alignment horizontal="center"/>
    </xf>
    <xf numFmtId="49" fontId="30" fillId="9" borderId="3" xfId="0" applyNumberFormat="1" applyFont="1" applyFill="1" applyBorder="1" applyAlignment="1">
      <alignment horizontal="center"/>
    </xf>
    <xf numFmtId="49" fontId="30" fillId="9" borderId="8" xfId="0" applyNumberFormat="1" applyFont="1" applyFill="1" applyBorder="1" applyAlignment="1">
      <alignment horizontal="center"/>
    </xf>
    <xf numFmtId="0" fontId="30" fillId="9" borderId="0" xfId="0" applyFont="1" applyFill="1" applyAlignment="1">
      <alignment horizontal="left"/>
    </xf>
    <xf numFmtId="0" fontId="55" fillId="9" borderId="45" xfId="0" applyFont="1" applyFill="1" applyBorder="1" applyAlignment="1">
      <alignment horizontal="center" vertical="center"/>
    </xf>
    <xf numFmtId="0" fontId="55" fillId="9" borderId="18" xfId="0" applyFont="1" applyFill="1" applyBorder="1" applyAlignment="1">
      <alignment horizontal="center" vertical="center"/>
    </xf>
    <xf numFmtId="0" fontId="55" fillId="9" borderId="57" xfId="0" applyFont="1" applyFill="1" applyBorder="1" applyAlignment="1">
      <alignment horizontal="center" vertical="center"/>
    </xf>
    <xf numFmtId="0" fontId="55" fillId="9" borderId="46" xfId="0" applyFont="1" applyFill="1" applyBorder="1" applyAlignment="1">
      <alignment horizontal="center" vertical="center"/>
    </xf>
    <xf numFmtId="0" fontId="55" fillId="9" borderId="0" xfId="0" applyFont="1" applyFill="1" applyBorder="1" applyAlignment="1">
      <alignment horizontal="center" vertical="center"/>
    </xf>
    <xf numFmtId="0" fontId="55" fillId="9" borderId="56" xfId="0" applyFont="1" applyFill="1" applyBorder="1" applyAlignment="1">
      <alignment horizontal="center" vertical="center"/>
    </xf>
    <xf numFmtId="0" fontId="55" fillId="9" borderId="41" xfId="0" applyFont="1" applyFill="1" applyBorder="1" applyAlignment="1">
      <alignment horizontal="center" vertical="center"/>
    </xf>
    <xf numFmtId="0" fontId="55" fillId="9" borderId="29" xfId="0" applyFont="1" applyFill="1" applyBorder="1" applyAlignment="1">
      <alignment horizontal="center" vertical="center"/>
    </xf>
    <xf numFmtId="0" fontId="55" fillId="9" borderId="54" xfId="0" applyFont="1" applyFill="1" applyBorder="1" applyAlignment="1">
      <alignment horizontal="center" vertical="center"/>
    </xf>
    <xf numFmtId="0" fontId="32" fillId="9" borderId="0" xfId="0" applyFont="1" applyFill="1" applyBorder="1" applyAlignment="1">
      <alignment horizontal="center"/>
    </xf>
    <xf numFmtId="0" fontId="32" fillId="9" borderId="47" xfId="0" applyFont="1" applyFill="1" applyBorder="1" applyAlignment="1">
      <alignment horizontal="center"/>
    </xf>
    <xf numFmtId="0" fontId="32" fillId="9" borderId="52" xfId="0" applyFont="1" applyFill="1" applyBorder="1" applyAlignment="1">
      <alignment horizontal="center"/>
    </xf>
    <xf numFmtId="0" fontId="32" fillId="9" borderId="56" xfId="0" applyFont="1" applyFill="1" applyBorder="1" applyAlignment="1">
      <alignment horizontal="center"/>
    </xf>
    <xf numFmtId="0" fontId="32" fillId="9" borderId="18" xfId="0" applyFont="1" applyFill="1" applyBorder="1" applyAlignment="1">
      <alignment horizontal="center"/>
    </xf>
    <xf numFmtId="0" fontId="32" fillId="9" borderId="68" xfId="0" applyFont="1" applyFill="1" applyBorder="1" applyAlignment="1">
      <alignment horizontal="center"/>
    </xf>
    <xf numFmtId="0" fontId="32" fillId="9" borderId="69" xfId="0" applyFont="1" applyFill="1" applyBorder="1" applyAlignment="1">
      <alignment horizontal="center"/>
    </xf>
    <xf numFmtId="0" fontId="32" fillId="9" borderId="44" xfId="0" applyFont="1" applyFill="1" applyBorder="1" applyAlignment="1">
      <alignment horizontal="center"/>
    </xf>
    <xf numFmtId="0" fontId="32" fillId="9" borderId="70" xfId="0" applyFont="1" applyFill="1" applyBorder="1" applyAlignment="1">
      <alignment horizontal="center"/>
    </xf>
    <xf numFmtId="0" fontId="32" fillId="9" borderId="71" xfId="0" applyFont="1" applyFill="1" applyBorder="1" applyAlignment="1">
      <alignment horizontal="center"/>
    </xf>
    <xf numFmtId="0" fontId="55" fillId="9" borderId="52" xfId="0" applyFont="1" applyFill="1" applyBorder="1" applyAlignment="1">
      <alignment horizontal="center"/>
    </xf>
    <xf numFmtId="0" fontId="55" fillId="9" borderId="0" xfId="0" applyFont="1" applyFill="1" applyBorder="1" applyAlignment="1">
      <alignment horizontal="center"/>
    </xf>
    <xf numFmtId="0" fontId="55" fillId="9" borderId="47" xfId="0" applyFont="1" applyFill="1" applyBorder="1" applyAlignment="1">
      <alignment horizontal="center"/>
    </xf>
    <xf numFmtId="0" fontId="75" fillId="9" borderId="29" xfId="0" applyFont="1" applyFill="1" applyBorder="1" applyAlignment="1">
      <alignment horizontal="center"/>
    </xf>
    <xf numFmtId="49" fontId="30" fillId="9" borderId="21" xfId="0" applyNumberFormat="1" applyFont="1" applyFill="1" applyBorder="1" applyAlignment="1">
      <alignment horizontal="center"/>
    </xf>
    <xf numFmtId="49" fontId="30" fillId="9" borderId="24" xfId="0" applyNumberFormat="1" applyFont="1" applyFill="1" applyBorder="1" applyAlignment="1">
      <alignment horizontal="center"/>
    </xf>
    <xf numFmtId="49" fontId="30" fillId="9" borderId="25" xfId="0" applyNumberFormat="1" applyFont="1" applyFill="1" applyBorder="1" applyAlignment="1">
      <alignment horizontal="center"/>
    </xf>
    <xf numFmtId="49" fontId="30" fillId="9" borderId="10" xfId="0" applyNumberFormat="1" applyFont="1" applyFill="1" applyBorder="1" applyAlignment="1">
      <alignment horizontal="center"/>
    </xf>
    <xf numFmtId="49" fontId="30" fillId="9" borderId="7" xfId="0" applyNumberFormat="1" applyFont="1" applyFill="1" applyBorder="1" applyAlignment="1">
      <alignment horizontal="center"/>
    </xf>
    <xf numFmtId="49" fontId="30" fillId="9" borderId="12" xfId="0" applyNumberFormat="1" applyFont="1" applyFill="1" applyBorder="1" applyAlignment="1">
      <alignment horizontal="center"/>
    </xf>
    <xf numFmtId="0" fontId="79" fillId="9" borderId="0" xfId="0" applyFont="1" applyFill="1" applyAlignment="1">
      <alignment horizontal="center"/>
    </xf>
    <xf numFmtId="49" fontId="80" fillId="9" borderId="0" xfId="0" applyNumberFormat="1" applyFont="1" applyFill="1" applyBorder="1" applyAlignment="1">
      <alignment horizontal="center" wrapText="1"/>
    </xf>
    <xf numFmtId="0" fontId="30" fillId="9" borderId="0" xfId="0" applyFont="1" applyFill="1" applyAlignment="1">
      <alignment horizontal="center" vertical="center" wrapText="1"/>
    </xf>
    <xf numFmtId="0" fontId="32" fillId="9" borderId="40" xfId="0" applyFont="1" applyFill="1" applyBorder="1" applyAlignment="1">
      <alignment horizontal="center" vertical="center"/>
    </xf>
    <xf numFmtId="0" fontId="32" fillId="9" borderId="7" xfId="0" applyFont="1" applyFill="1" applyBorder="1" applyAlignment="1">
      <alignment horizontal="center" vertical="center"/>
    </xf>
    <xf numFmtId="0" fontId="32" fillId="9" borderId="12" xfId="0" applyFont="1" applyFill="1" applyBorder="1" applyAlignment="1">
      <alignment horizontal="center" vertical="center"/>
    </xf>
    <xf numFmtId="0" fontId="30" fillId="12" borderId="41" xfId="0" applyFont="1" applyFill="1" applyBorder="1" applyAlignment="1"/>
    <xf numFmtId="0" fontId="30" fillId="12" borderId="29" xfId="0" applyFont="1" applyFill="1" applyBorder="1" applyAlignment="1"/>
    <xf numFmtId="0" fontId="30" fillId="12" borderId="54" xfId="0" applyFont="1" applyFill="1" applyBorder="1" applyAlignment="1"/>
    <xf numFmtId="49" fontId="55" fillId="12" borderId="30" xfId="0" applyNumberFormat="1" applyFont="1" applyFill="1" applyBorder="1" applyAlignment="1">
      <alignment horizontal="center"/>
    </xf>
    <xf numFmtId="49" fontId="55" fillId="12" borderId="6" xfId="0" applyNumberFormat="1" applyFont="1" applyFill="1" applyBorder="1" applyAlignment="1">
      <alignment horizontal="center"/>
    </xf>
    <xf numFmtId="4" fontId="55" fillId="12" borderId="6" xfId="0" applyNumberFormat="1" applyFont="1" applyFill="1" applyBorder="1" applyAlignment="1">
      <alignment horizontal="center" vertical="center"/>
    </xf>
    <xf numFmtId="4" fontId="55" fillId="12" borderId="14" xfId="0" applyNumberFormat="1" applyFont="1" applyFill="1" applyBorder="1" applyAlignment="1">
      <alignment horizontal="center" vertical="center"/>
    </xf>
    <xf numFmtId="0" fontId="32" fillId="9" borderId="10" xfId="0" applyFont="1" applyFill="1" applyBorder="1" applyAlignment="1">
      <alignment horizontal="center" vertical="center"/>
    </xf>
    <xf numFmtId="4" fontId="90" fillId="9" borderId="3" xfId="0" applyNumberFormat="1" applyFont="1" applyFill="1" applyBorder="1" applyAlignment="1">
      <alignment horizontal="center"/>
    </xf>
    <xf numFmtId="4" fontId="30" fillId="9" borderId="3" xfId="0" applyNumberFormat="1" applyFont="1" applyFill="1" applyBorder="1" applyAlignment="1">
      <alignment horizontal="center"/>
    </xf>
    <xf numFmtId="4" fontId="30" fillId="9" borderId="8" xfId="0" applyNumberFormat="1" applyFont="1" applyFill="1" applyBorder="1" applyAlignment="1">
      <alignment horizontal="center"/>
    </xf>
    <xf numFmtId="0" fontId="77" fillId="12" borderId="21" xfId="0" applyFont="1" applyFill="1" applyBorder="1" applyAlignment="1"/>
    <xf numFmtId="0" fontId="77" fillId="12" borderId="24" xfId="0" applyFont="1" applyFill="1" applyBorder="1" applyAlignment="1"/>
    <xf numFmtId="0" fontId="77" fillId="12" borderId="25" xfId="0" applyFont="1" applyFill="1" applyBorder="1" applyAlignment="1"/>
    <xf numFmtId="49" fontId="77" fillId="12" borderId="22" xfId="0" applyNumberFormat="1" applyFont="1" applyFill="1" applyBorder="1" applyAlignment="1">
      <alignment horizontal="center"/>
    </xf>
    <xf numFmtId="49" fontId="77" fillId="12" borderId="3" xfId="0" applyNumberFormat="1" applyFont="1" applyFill="1" applyBorder="1" applyAlignment="1">
      <alignment horizontal="center"/>
    </xf>
    <xf numFmtId="49" fontId="42" fillId="12" borderId="3" xfId="0" applyNumberFormat="1" applyFont="1" applyFill="1" applyBorder="1" applyAlignment="1">
      <alignment horizontal="center"/>
    </xf>
    <xf numFmtId="4" fontId="77" fillId="12" borderId="3" xfId="0" applyNumberFormat="1" applyFont="1" applyFill="1" applyBorder="1" applyAlignment="1">
      <alignment horizontal="center"/>
    </xf>
    <xf numFmtId="4" fontId="77" fillId="12" borderId="8" xfId="0" applyNumberFormat="1" applyFont="1" applyFill="1" applyBorder="1" applyAlignment="1">
      <alignment horizontal="center"/>
    </xf>
    <xf numFmtId="0" fontId="30" fillId="9" borderId="2" xfId="0" applyFont="1" applyFill="1" applyBorder="1" applyAlignment="1"/>
    <xf numFmtId="0" fontId="30" fillId="9" borderId="3" xfId="0" applyFont="1" applyFill="1" applyBorder="1" applyAlignment="1"/>
    <xf numFmtId="0" fontId="30" fillId="9" borderId="8" xfId="0" applyFont="1" applyFill="1" applyBorder="1" applyAlignment="1"/>
    <xf numFmtId="4" fontId="42" fillId="9" borderId="49" xfId="0" applyNumberFormat="1" applyFont="1" applyFill="1" applyBorder="1" applyAlignment="1">
      <alignment horizontal="center"/>
    </xf>
    <xf numFmtId="4" fontId="42" fillId="9" borderId="37" xfId="0" applyNumberFormat="1" applyFont="1" applyFill="1" applyBorder="1" applyAlignment="1">
      <alignment horizontal="center"/>
    </xf>
    <xf numFmtId="4" fontId="42" fillId="9" borderId="53" xfId="0" applyNumberFormat="1" applyFont="1" applyFill="1" applyBorder="1" applyAlignment="1">
      <alignment horizontal="center"/>
    </xf>
    <xf numFmtId="4" fontId="42" fillId="9" borderId="55" xfId="0" applyNumberFormat="1" applyFont="1" applyFill="1" applyBorder="1" applyAlignment="1">
      <alignment horizontal="center"/>
    </xf>
    <xf numFmtId="4" fontId="42" fillId="9" borderId="29" xfId="0" applyNumberFormat="1" applyFont="1" applyFill="1" applyBorder="1" applyAlignment="1">
      <alignment horizontal="center"/>
    </xf>
    <xf numFmtId="4" fontId="42" fillId="9" borderId="54" xfId="0" applyNumberFormat="1" applyFont="1" applyFill="1" applyBorder="1" applyAlignment="1">
      <alignment horizontal="center"/>
    </xf>
    <xf numFmtId="0" fontId="42" fillId="9" borderId="41" xfId="0" applyFont="1" applyFill="1" applyBorder="1" applyAlignment="1">
      <alignment horizontal="left" indent="1"/>
    </xf>
    <xf numFmtId="0" fontId="42" fillId="9" borderId="29" xfId="0" applyFont="1" applyFill="1" applyBorder="1" applyAlignment="1">
      <alignment horizontal="left" indent="1"/>
    </xf>
    <xf numFmtId="0" fontId="42" fillId="9" borderId="54" xfId="0" applyFont="1" applyFill="1" applyBorder="1" applyAlignment="1">
      <alignment horizontal="left" indent="1"/>
    </xf>
    <xf numFmtId="0" fontId="55" fillId="9" borderId="46" xfId="0" applyFont="1" applyFill="1" applyBorder="1" applyAlignment="1">
      <alignment horizontal="left" indent="2"/>
    </xf>
    <xf numFmtId="0" fontId="55" fillId="9" borderId="0" xfId="0" applyFont="1" applyFill="1" applyBorder="1" applyAlignment="1">
      <alignment horizontal="left" indent="2"/>
    </xf>
    <xf numFmtId="0" fontId="55" fillId="9" borderId="56" xfId="0" applyFont="1" applyFill="1" applyBorder="1" applyAlignment="1">
      <alignment horizontal="left" indent="2"/>
    </xf>
    <xf numFmtId="49" fontId="55" fillId="9" borderId="37" xfId="0" applyNumberFormat="1" applyFont="1" applyFill="1" applyBorder="1" applyAlignment="1">
      <alignment horizontal="center"/>
    </xf>
    <xf numFmtId="49" fontId="55" fillId="9" borderId="38" xfId="0" applyNumberFormat="1" applyFont="1" applyFill="1" applyBorder="1" applyAlignment="1">
      <alignment horizontal="center"/>
    </xf>
    <xf numFmtId="49" fontId="55" fillId="9" borderId="49" xfId="0" applyNumberFormat="1" applyFont="1" applyFill="1" applyBorder="1" applyAlignment="1">
      <alignment horizontal="center"/>
    </xf>
    <xf numFmtId="4" fontId="55" fillId="9" borderId="49" xfId="0" applyNumberFormat="1" applyFont="1" applyFill="1" applyBorder="1" applyAlignment="1">
      <alignment horizontal="center"/>
    </xf>
    <xf numFmtId="4" fontId="55" fillId="9" borderId="37" xfId="0" applyNumberFormat="1" applyFont="1" applyFill="1" applyBorder="1" applyAlignment="1">
      <alignment horizontal="center"/>
    </xf>
    <xf numFmtId="4" fontId="55" fillId="9" borderId="38" xfId="0" applyNumberFormat="1" applyFont="1" applyFill="1" applyBorder="1" applyAlignment="1">
      <alignment horizontal="center"/>
    </xf>
    <xf numFmtId="4" fontId="55" fillId="9" borderId="53" xfId="0" applyNumberFormat="1" applyFont="1" applyFill="1" applyBorder="1" applyAlignment="1">
      <alignment horizontal="center"/>
    </xf>
    <xf numFmtId="0" fontId="42" fillId="9" borderId="33" xfId="0" applyFont="1" applyFill="1" applyBorder="1" applyAlignment="1">
      <alignment horizontal="left" indent="1"/>
    </xf>
    <xf numFmtId="0" fontId="42" fillId="9" borderId="4" xfId="0" applyFont="1" applyFill="1" applyBorder="1" applyAlignment="1">
      <alignment horizontal="left" indent="1"/>
    </xf>
    <xf numFmtId="0" fontId="42" fillId="9" borderId="31" xfId="0" applyFont="1" applyFill="1" applyBorder="1" applyAlignment="1">
      <alignment horizontal="left" indent="1"/>
    </xf>
    <xf numFmtId="0" fontId="42" fillId="9" borderId="36" xfId="0" applyFont="1" applyFill="1" applyBorder="1" applyAlignment="1">
      <alignment horizontal="left" indent="2"/>
    </xf>
    <xf numFmtId="0" fontId="42" fillId="9" borderId="37" xfId="0" applyFont="1" applyFill="1" applyBorder="1" applyAlignment="1">
      <alignment horizontal="left" indent="2"/>
    </xf>
    <xf numFmtId="0" fontId="42" fillId="9" borderId="53" xfId="0" applyFont="1" applyFill="1" applyBorder="1" applyAlignment="1">
      <alignment horizontal="left" indent="2"/>
    </xf>
    <xf numFmtId="49" fontId="42" fillId="9" borderId="37" xfId="0" applyNumberFormat="1" applyFont="1" applyFill="1" applyBorder="1" applyAlignment="1">
      <alignment horizontal="center"/>
    </xf>
    <xf numFmtId="49" fontId="42" fillId="9" borderId="38" xfId="0" applyNumberFormat="1" applyFont="1" applyFill="1" applyBorder="1" applyAlignment="1">
      <alignment horizontal="center"/>
    </xf>
    <xf numFmtId="49" fontId="42" fillId="9" borderId="49" xfId="0" applyNumberFormat="1" applyFont="1" applyFill="1" applyBorder="1" applyAlignment="1">
      <alignment horizontal="center"/>
    </xf>
    <xf numFmtId="4" fontId="42" fillId="9" borderId="38" xfId="0" applyNumberFormat="1" applyFont="1" applyFill="1" applyBorder="1" applyAlignment="1">
      <alignment horizontal="center"/>
    </xf>
    <xf numFmtId="0" fontId="55" fillId="9" borderId="36" xfId="0" applyFont="1" applyFill="1" applyBorder="1" applyAlignment="1">
      <alignment horizontal="left" indent="2"/>
    </xf>
    <xf numFmtId="0" fontId="55" fillId="9" borderId="37" xfId="0" applyFont="1" applyFill="1" applyBorder="1" applyAlignment="1">
      <alignment horizontal="left" indent="2"/>
    </xf>
    <xf numFmtId="0" fontId="55" fillId="9" borderId="53" xfId="0" applyFont="1" applyFill="1" applyBorder="1" applyAlignment="1">
      <alignment horizontal="left" indent="2"/>
    </xf>
    <xf numFmtId="49" fontId="55" fillId="9" borderId="0" xfId="0" applyNumberFormat="1" applyFont="1" applyFill="1" applyBorder="1" applyAlignment="1">
      <alignment horizontal="center"/>
    </xf>
    <xf numFmtId="49" fontId="55" fillId="9" borderId="47" xfId="0" applyNumberFormat="1" applyFont="1" applyFill="1" applyBorder="1" applyAlignment="1">
      <alignment horizontal="center"/>
    </xf>
    <xf numFmtId="49" fontId="55" fillId="9" borderId="30" xfId="0" applyNumberFormat="1" applyFont="1" applyFill="1" applyBorder="1" applyAlignment="1">
      <alignment horizontal="center"/>
    </xf>
    <xf numFmtId="49" fontId="55" fillId="9" borderId="52" xfId="0" applyNumberFormat="1" applyFont="1" applyFill="1" applyBorder="1" applyAlignment="1">
      <alignment horizontal="center"/>
    </xf>
    <xf numFmtId="49" fontId="55" fillId="9" borderId="55" xfId="0" applyNumberFormat="1" applyFont="1" applyFill="1" applyBorder="1" applyAlignment="1">
      <alignment horizontal="center"/>
    </xf>
    <xf numFmtId="0" fontId="55" fillId="9" borderId="37" xfId="0" applyNumberFormat="1" applyFont="1" applyFill="1" applyBorder="1" applyAlignment="1">
      <alignment horizontal="center"/>
    </xf>
    <xf numFmtId="0" fontId="55" fillId="9" borderId="38" xfId="0" applyNumberFormat="1" applyFont="1" applyFill="1" applyBorder="1" applyAlignment="1">
      <alignment horizontal="center"/>
    </xf>
    <xf numFmtId="0" fontId="55" fillId="9" borderId="52" xfId="0" applyNumberFormat="1" applyFont="1" applyFill="1" applyBorder="1" applyAlignment="1">
      <alignment horizontal="center"/>
    </xf>
    <xf numFmtId="0" fontId="55" fillId="9" borderId="0" xfId="0" applyNumberFormat="1" applyFont="1" applyFill="1" applyBorder="1" applyAlignment="1">
      <alignment horizontal="center"/>
    </xf>
    <xf numFmtId="0" fontId="55" fillId="9" borderId="47" xfId="0" applyNumberFormat="1" applyFont="1" applyFill="1" applyBorder="1" applyAlignment="1">
      <alignment horizontal="center"/>
    </xf>
    <xf numFmtId="0" fontId="55" fillId="9" borderId="55" xfId="0" applyNumberFormat="1" applyFont="1" applyFill="1" applyBorder="1" applyAlignment="1">
      <alignment horizontal="center"/>
    </xf>
    <xf numFmtId="0" fontId="55" fillId="9" borderId="29" xfId="0" applyNumberFormat="1" applyFont="1" applyFill="1" applyBorder="1" applyAlignment="1">
      <alignment horizontal="center"/>
    </xf>
    <xf numFmtId="0" fontId="55" fillId="9" borderId="30" xfId="0" applyNumberFormat="1" applyFont="1" applyFill="1" applyBorder="1" applyAlignment="1">
      <alignment horizontal="center"/>
    </xf>
    <xf numFmtId="0" fontId="55" fillId="9" borderId="53" xfId="0" applyNumberFormat="1" applyFont="1" applyFill="1" applyBorder="1" applyAlignment="1">
      <alignment horizontal="center"/>
    </xf>
    <xf numFmtId="0" fontId="55" fillId="9" borderId="56" xfId="0" applyNumberFormat="1" applyFont="1" applyFill="1" applyBorder="1" applyAlignment="1">
      <alignment horizontal="center"/>
    </xf>
    <xf numFmtId="0" fontId="55" fillId="9" borderId="54" xfId="0" applyNumberFormat="1" applyFont="1" applyFill="1" applyBorder="1" applyAlignment="1">
      <alignment horizontal="center"/>
    </xf>
    <xf numFmtId="0" fontId="55" fillId="9" borderId="41" xfId="0" applyFont="1" applyFill="1" applyBorder="1" applyAlignment="1">
      <alignment horizontal="left" indent="2"/>
    </xf>
    <xf numFmtId="0" fontId="55" fillId="9" borderId="29" xfId="0" applyFont="1" applyFill="1" applyBorder="1" applyAlignment="1">
      <alignment horizontal="left" indent="2"/>
    </xf>
    <xf numFmtId="0" fontId="55" fillId="9" borderId="54" xfId="0" applyFont="1" applyFill="1" applyBorder="1" applyAlignment="1">
      <alignment horizontal="left" indent="2"/>
    </xf>
    <xf numFmtId="0" fontId="55" fillId="9" borderId="33" xfId="0" applyFont="1" applyFill="1" applyBorder="1" applyAlignment="1">
      <alignment horizontal="left" indent="2"/>
    </xf>
    <xf numFmtId="0" fontId="55" fillId="9" borderId="4" xfId="0" applyFont="1" applyFill="1" applyBorder="1" applyAlignment="1">
      <alignment horizontal="left" indent="2"/>
    </xf>
    <xf numFmtId="0" fontId="55" fillId="9" borderId="31" xfId="0" applyFont="1" applyFill="1" applyBorder="1" applyAlignment="1">
      <alignment horizontal="left" indent="2"/>
    </xf>
    <xf numFmtId="49" fontId="55" fillId="9" borderId="37" xfId="0" applyNumberFormat="1" applyFont="1" applyFill="1" applyBorder="1" applyAlignment="1">
      <alignment horizontal="center" vertical="center"/>
    </xf>
    <xf numFmtId="49" fontId="55" fillId="9" borderId="38" xfId="0" applyNumberFormat="1" applyFont="1" applyFill="1" applyBorder="1" applyAlignment="1">
      <alignment horizontal="center" vertical="center"/>
    </xf>
    <xf numFmtId="49" fontId="55" fillId="9" borderId="0" xfId="0" applyNumberFormat="1" applyFont="1" applyFill="1" applyBorder="1" applyAlignment="1">
      <alignment horizontal="center" vertical="center"/>
    </xf>
    <xf numFmtId="49" fontId="55" fillId="9" borderId="47" xfId="0" applyNumberFormat="1" applyFont="1" applyFill="1" applyBorder="1" applyAlignment="1">
      <alignment horizontal="center" vertical="center"/>
    </xf>
    <xf numFmtId="49" fontId="55" fillId="9" borderId="49" xfId="0" applyNumberFormat="1" applyFont="1" applyFill="1" applyBorder="1" applyAlignment="1">
      <alignment horizontal="center" vertical="center"/>
    </xf>
    <xf numFmtId="49" fontId="55" fillId="9" borderId="52" xfId="0" applyNumberFormat="1" applyFont="1" applyFill="1" applyBorder="1" applyAlignment="1">
      <alignment horizontal="center" vertical="center"/>
    </xf>
    <xf numFmtId="0" fontId="42" fillId="9" borderId="21" xfId="0" applyFont="1" applyFill="1" applyBorder="1" applyAlignment="1">
      <alignment horizontal="left" indent="1"/>
    </xf>
    <xf numFmtId="0" fontId="42" fillId="9" borderId="24" xfId="0" applyFont="1" applyFill="1" applyBorder="1" applyAlignment="1">
      <alignment horizontal="left" indent="1"/>
    </xf>
    <xf numFmtId="0" fontId="42" fillId="9" borderId="25" xfId="0" applyFont="1" applyFill="1" applyBorder="1" applyAlignment="1">
      <alignment horizontal="left" indent="1"/>
    </xf>
    <xf numFmtId="49" fontId="42" fillId="9" borderId="22" xfId="0" applyNumberFormat="1" applyFont="1" applyFill="1" applyBorder="1" applyAlignment="1">
      <alignment horizontal="center"/>
    </xf>
    <xf numFmtId="49" fontId="42" fillId="9" borderId="3" xfId="0" applyNumberFormat="1" applyFont="1" applyFill="1" applyBorder="1" applyAlignment="1">
      <alignment horizontal="center"/>
    </xf>
    <xf numFmtId="0" fontId="42" fillId="9" borderId="3" xfId="0" applyNumberFormat="1" applyFont="1" applyFill="1" applyBorder="1" applyAlignment="1">
      <alignment horizontal="center"/>
    </xf>
    <xf numFmtId="0" fontId="42" fillId="9" borderId="8" xfId="0" applyNumberFormat="1" applyFont="1" applyFill="1" applyBorder="1" applyAlignment="1">
      <alignment horizontal="center"/>
    </xf>
    <xf numFmtId="49" fontId="55" fillId="9" borderId="55" xfId="0" applyNumberFormat="1" applyFont="1" applyFill="1" applyBorder="1" applyAlignment="1">
      <alignment horizontal="center" vertical="center"/>
    </xf>
    <xf numFmtId="49" fontId="55" fillId="9" borderId="29" xfId="0" applyNumberFormat="1" applyFont="1" applyFill="1" applyBorder="1" applyAlignment="1">
      <alignment horizontal="center" vertical="center"/>
    </xf>
    <xf numFmtId="49" fontId="55" fillId="9" borderId="30" xfId="0" applyNumberFormat="1" applyFont="1" applyFill="1" applyBorder="1" applyAlignment="1">
      <alignment horizontal="center" vertical="center"/>
    </xf>
    <xf numFmtId="49" fontId="56" fillId="9" borderId="3" xfId="0" applyNumberFormat="1" applyFont="1" applyFill="1" applyBorder="1" applyAlignment="1">
      <alignment horizontal="center"/>
    </xf>
    <xf numFmtId="4" fontId="56" fillId="9" borderId="3" xfId="0" applyNumberFormat="1" applyFont="1" applyFill="1" applyBorder="1" applyAlignment="1">
      <alignment horizontal="center"/>
    </xf>
    <xf numFmtId="0" fontId="56" fillId="9" borderId="3" xfId="0" applyNumberFormat="1" applyFont="1" applyFill="1" applyBorder="1" applyAlignment="1">
      <alignment horizontal="center"/>
    </xf>
    <xf numFmtId="0" fontId="56" fillId="9" borderId="8" xfId="0" applyNumberFormat="1" applyFont="1" applyFill="1" applyBorder="1" applyAlignment="1">
      <alignment horizontal="center"/>
    </xf>
    <xf numFmtId="4" fontId="42" fillId="9" borderId="3" xfId="0" applyNumberFormat="1" applyFont="1" applyFill="1" applyBorder="1" applyAlignment="1">
      <alignment horizontal="center"/>
    </xf>
    <xf numFmtId="0" fontId="55" fillId="9" borderId="49" xfId="0" applyNumberFormat="1" applyFont="1" applyFill="1" applyBorder="1" applyAlignment="1">
      <alignment horizontal="center"/>
    </xf>
    <xf numFmtId="0" fontId="55" fillId="9" borderId="21" xfId="0" applyFont="1" applyFill="1" applyBorder="1" applyAlignment="1">
      <alignment horizontal="left" wrapText="1" indent="2"/>
    </xf>
    <xf numFmtId="0" fontId="55" fillId="9" borderId="24" xfId="0" applyFont="1" applyFill="1" applyBorder="1" applyAlignment="1">
      <alignment horizontal="left" wrapText="1" indent="2"/>
    </xf>
    <xf numFmtId="0" fontId="55" fillId="9" borderId="25" xfId="0" applyFont="1" applyFill="1" applyBorder="1" applyAlignment="1">
      <alignment horizontal="left" wrapText="1" indent="2"/>
    </xf>
    <xf numFmtId="0" fontId="55" fillId="9" borderId="21" xfId="0" applyFont="1" applyFill="1" applyBorder="1" applyAlignment="1">
      <alignment horizontal="left" indent="1"/>
    </xf>
    <xf numFmtId="0" fontId="55" fillId="9" borderId="24" xfId="0" applyFont="1" applyFill="1" applyBorder="1" applyAlignment="1">
      <alignment horizontal="left" indent="1"/>
    </xf>
    <xf numFmtId="0" fontId="55" fillId="9" borderId="25" xfId="0" applyFont="1" applyFill="1" applyBorder="1" applyAlignment="1">
      <alignment horizontal="left" indent="1"/>
    </xf>
    <xf numFmtId="49" fontId="55" fillId="9" borderId="22" xfId="0" applyNumberFormat="1" applyFont="1" applyFill="1" applyBorder="1" applyAlignment="1">
      <alignment horizontal="center"/>
    </xf>
    <xf numFmtId="0" fontId="55" fillId="9" borderId="8" xfId="0" applyNumberFormat="1" applyFont="1" applyFill="1" applyBorder="1" applyAlignment="1">
      <alignment horizontal="center"/>
    </xf>
    <xf numFmtId="0" fontId="55" fillId="9" borderId="3" xfId="0" applyNumberFormat="1" applyFont="1" applyFill="1" applyBorder="1" applyAlignment="1">
      <alignment horizontal="right"/>
    </xf>
    <xf numFmtId="0" fontId="55" fillId="9" borderId="8" xfId="0" applyNumberFormat="1" applyFont="1" applyFill="1" applyBorder="1" applyAlignment="1">
      <alignment horizontal="right"/>
    </xf>
    <xf numFmtId="0" fontId="57" fillId="12" borderId="21" xfId="0" applyFont="1" applyFill="1" applyBorder="1" applyAlignment="1"/>
    <xf numFmtId="0" fontId="57" fillId="12" borderId="24" xfId="0" applyFont="1" applyFill="1" applyBorder="1" applyAlignment="1"/>
    <xf numFmtId="0" fontId="57" fillId="12" borderId="25" xfId="0" applyFont="1" applyFill="1" applyBorder="1" applyAlignment="1"/>
    <xf numFmtId="49" fontId="75" fillId="12" borderId="22" xfId="0" applyNumberFormat="1" applyFont="1" applyFill="1" applyBorder="1" applyAlignment="1">
      <alignment horizontal="center"/>
    </xf>
    <xf numFmtId="49" fontId="75" fillId="12" borderId="3" xfId="0" applyNumberFormat="1" applyFont="1" applyFill="1" applyBorder="1" applyAlignment="1">
      <alignment horizontal="center"/>
    </xf>
    <xf numFmtId="4" fontId="75" fillId="12" borderId="3" xfId="0" applyNumberFormat="1" applyFont="1" applyFill="1" applyBorder="1" applyAlignment="1">
      <alignment horizontal="center"/>
    </xf>
    <xf numFmtId="0" fontId="75" fillId="12" borderId="3" xfId="0" applyNumberFormat="1" applyFont="1" applyFill="1" applyBorder="1" applyAlignment="1">
      <alignment horizontal="center"/>
    </xf>
    <xf numFmtId="4" fontId="42" fillId="12" borderId="3" xfId="0" applyNumberFormat="1" applyFont="1" applyFill="1" applyBorder="1" applyAlignment="1">
      <alignment horizontal="center"/>
    </xf>
    <xf numFmtId="0" fontId="42" fillId="12" borderId="3" xfId="0" applyNumberFormat="1" applyFont="1" applyFill="1" applyBorder="1" applyAlignment="1">
      <alignment horizontal="center"/>
    </xf>
    <xf numFmtId="0" fontId="42" fillId="12" borderId="8" xfId="0" applyNumberFormat="1" applyFont="1" applyFill="1" applyBorder="1" applyAlignment="1">
      <alignment horizontal="center"/>
    </xf>
    <xf numFmtId="0" fontId="55" fillId="9" borderId="25" xfId="0" applyFont="1" applyFill="1" applyBorder="1" applyAlignment="1">
      <alignment horizontal="left" indent="2"/>
    </xf>
    <xf numFmtId="49" fontId="42" fillId="9" borderId="29" xfId="0" applyNumberFormat="1" applyFont="1" applyFill="1" applyBorder="1" applyAlignment="1">
      <alignment horizontal="center"/>
    </xf>
    <xf numFmtId="49" fontId="42" fillId="9" borderId="30" xfId="0" applyNumberFormat="1" applyFont="1" applyFill="1" applyBorder="1" applyAlignment="1">
      <alignment horizontal="center"/>
    </xf>
    <xf numFmtId="49" fontId="42" fillId="9" borderId="55" xfId="0" applyNumberFormat="1" applyFont="1" applyFill="1" applyBorder="1" applyAlignment="1">
      <alignment horizontal="center"/>
    </xf>
    <xf numFmtId="0" fontId="42" fillId="9" borderId="37" xfId="0" applyNumberFormat="1" applyFont="1" applyFill="1" applyBorder="1" applyAlignment="1">
      <alignment horizontal="center"/>
    </xf>
    <xf numFmtId="0" fontId="42" fillId="9" borderId="38" xfId="0" applyNumberFormat="1" applyFont="1" applyFill="1" applyBorder="1" applyAlignment="1">
      <alignment horizontal="center"/>
    </xf>
    <xf numFmtId="0" fontId="42" fillId="9" borderId="55" xfId="0" applyNumberFormat="1" applyFont="1" applyFill="1" applyBorder="1" applyAlignment="1">
      <alignment horizontal="center"/>
    </xf>
    <xf numFmtId="0" fontId="42" fillId="9" borderId="29" xfId="0" applyNumberFormat="1" applyFont="1" applyFill="1" applyBorder="1" applyAlignment="1">
      <alignment horizontal="center"/>
    </xf>
    <xf numFmtId="0" fontId="42" fillId="9" borderId="30" xfId="0" applyNumberFormat="1" applyFont="1" applyFill="1" applyBorder="1" applyAlignment="1">
      <alignment horizontal="center"/>
    </xf>
    <xf numFmtId="0" fontId="42" fillId="9" borderId="49" xfId="0" applyNumberFormat="1" applyFont="1" applyFill="1" applyBorder="1" applyAlignment="1">
      <alignment horizontal="center"/>
    </xf>
    <xf numFmtId="0" fontId="42" fillId="9" borderId="53" xfId="0" applyNumberFormat="1" applyFont="1" applyFill="1" applyBorder="1" applyAlignment="1">
      <alignment horizontal="center"/>
    </xf>
    <xf numFmtId="0" fontId="42" fillId="9" borderId="54" xfId="0" applyNumberFormat="1" applyFont="1" applyFill="1" applyBorder="1" applyAlignment="1">
      <alignment horizontal="center"/>
    </xf>
    <xf numFmtId="0" fontId="55" fillId="15" borderId="46" xfId="0" applyFont="1" applyFill="1" applyBorder="1" applyAlignment="1">
      <alignment horizontal="left" indent="2"/>
    </xf>
    <xf numFmtId="0" fontId="55" fillId="15" borderId="0" xfId="0" applyFont="1" applyFill="1" applyBorder="1" applyAlignment="1">
      <alignment horizontal="left" indent="2"/>
    </xf>
    <xf numFmtId="0" fontId="55" fillId="15" borderId="56" xfId="0" applyFont="1" applyFill="1" applyBorder="1" applyAlignment="1">
      <alignment horizontal="left" indent="2"/>
    </xf>
    <xf numFmtId="49" fontId="55" fillId="15" borderId="37" xfId="0" applyNumberFormat="1" applyFont="1" applyFill="1" applyBorder="1" applyAlignment="1">
      <alignment horizontal="center"/>
    </xf>
    <xf numFmtId="49" fontId="55" fillId="15" borderId="38" xfId="0" applyNumberFormat="1" applyFont="1" applyFill="1" applyBorder="1" applyAlignment="1">
      <alignment horizontal="center"/>
    </xf>
    <xf numFmtId="49" fontId="55" fillId="15" borderId="29" xfId="0" applyNumberFormat="1" applyFont="1" applyFill="1" applyBorder="1" applyAlignment="1">
      <alignment horizontal="center"/>
    </xf>
    <xf numFmtId="49" fontId="55" fillId="15" borderId="30" xfId="0" applyNumberFormat="1" applyFont="1" applyFill="1" applyBorder="1" applyAlignment="1">
      <alignment horizontal="center"/>
    </xf>
    <xf numFmtId="49" fontId="42" fillId="15" borderId="49" xfId="0" applyNumberFormat="1" applyFont="1" applyFill="1" applyBorder="1" applyAlignment="1">
      <alignment horizontal="center"/>
    </xf>
    <xf numFmtId="49" fontId="42" fillId="15" borderId="37" xfId="0" applyNumberFormat="1" applyFont="1" applyFill="1" applyBorder="1" applyAlignment="1">
      <alignment horizontal="center"/>
    </xf>
    <xf numFmtId="49" fontId="42" fillId="15" borderId="38" xfId="0" applyNumberFormat="1" applyFont="1" applyFill="1" applyBorder="1" applyAlignment="1">
      <alignment horizontal="center"/>
    </xf>
    <xf numFmtId="49" fontId="42" fillId="15" borderId="55" xfId="0" applyNumberFormat="1" applyFont="1" applyFill="1" applyBorder="1" applyAlignment="1">
      <alignment horizontal="center"/>
    </xf>
    <xf numFmtId="49" fontId="42" fillId="15" borderId="29" xfId="0" applyNumberFormat="1" applyFont="1" applyFill="1" applyBorder="1" applyAlignment="1">
      <alignment horizontal="center"/>
    </xf>
    <xf numFmtId="49" fontId="42" fillId="15" borderId="30" xfId="0" applyNumberFormat="1" applyFont="1" applyFill="1" applyBorder="1" applyAlignment="1">
      <alignment horizontal="center"/>
    </xf>
    <xf numFmtId="49" fontId="55" fillId="15" borderId="49" xfId="0" applyNumberFormat="1" applyFont="1" applyFill="1" applyBorder="1" applyAlignment="1">
      <alignment horizontal="center"/>
    </xf>
    <xf numFmtId="49" fontId="55" fillId="15" borderId="55" xfId="0" applyNumberFormat="1" applyFont="1" applyFill="1" applyBorder="1" applyAlignment="1">
      <alignment horizontal="center"/>
    </xf>
    <xf numFmtId="4" fontId="55" fillId="15" borderId="49" xfId="0" applyNumberFormat="1" applyFont="1" applyFill="1" applyBorder="1" applyAlignment="1">
      <alignment horizontal="center"/>
    </xf>
    <xf numFmtId="0" fontId="55" fillId="15" borderId="37" xfId="0" applyNumberFormat="1" applyFont="1" applyFill="1" applyBorder="1" applyAlignment="1">
      <alignment horizontal="center"/>
    </xf>
    <xf numFmtId="0" fontId="55" fillId="15" borderId="38" xfId="0" applyNumberFormat="1" applyFont="1" applyFill="1" applyBorder="1" applyAlignment="1">
      <alignment horizontal="center"/>
    </xf>
    <xf numFmtId="0" fontId="55" fillId="15" borderId="55" xfId="0" applyNumberFormat="1" applyFont="1" applyFill="1" applyBorder="1" applyAlignment="1">
      <alignment horizontal="center"/>
    </xf>
    <xf numFmtId="0" fontId="55" fillId="15" borderId="29" xfId="0" applyNumberFormat="1" applyFont="1" applyFill="1" applyBorder="1" applyAlignment="1">
      <alignment horizontal="center"/>
    </xf>
    <xf numFmtId="0" fontId="55" fillId="15" borderId="30" xfId="0" applyNumberFormat="1" applyFont="1" applyFill="1" applyBorder="1" applyAlignment="1">
      <alignment horizontal="center"/>
    </xf>
    <xf numFmtId="0" fontId="55" fillId="15" borderId="49" xfId="0" applyNumberFormat="1" applyFont="1" applyFill="1" applyBorder="1" applyAlignment="1">
      <alignment horizontal="center"/>
    </xf>
    <xf numFmtId="0" fontId="55" fillId="15" borderId="53" xfId="0" applyNumberFormat="1" applyFont="1" applyFill="1" applyBorder="1" applyAlignment="1">
      <alignment horizontal="center"/>
    </xf>
    <xf numFmtId="0" fontId="55" fillId="15" borderId="54" xfId="0" applyNumberFormat="1" applyFont="1" applyFill="1" applyBorder="1" applyAlignment="1">
      <alignment horizontal="center"/>
    </xf>
    <xf numFmtId="0" fontId="55" fillId="15" borderId="41" xfId="0" applyFont="1" applyFill="1" applyBorder="1" applyAlignment="1">
      <alignment horizontal="left" indent="2"/>
    </xf>
    <xf numFmtId="0" fontId="55" fillId="15" borderId="29" xfId="0" applyFont="1" applyFill="1" applyBorder="1" applyAlignment="1">
      <alignment horizontal="left" indent="2"/>
    </xf>
    <xf numFmtId="0" fontId="55" fillId="15" borderId="54" xfId="0" applyFont="1" applyFill="1" applyBorder="1" applyAlignment="1">
      <alignment horizontal="left" indent="2"/>
    </xf>
    <xf numFmtId="4" fontId="55" fillId="9" borderId="55" xfId="0" applyNumberFormat="1" applyFont="1" applyFill="1" applyBorder="1" applyAlignment="1">
      <alignment horizontal="center"/>
    </xf>
    <xf numFmtId="4" fontId="55" fillId="9" borderId="29" xfId="0" applyNumberFormat="1" applyFont="1" applyFill="1" applyBorder="1" applyAlignment="1">
      <alignment horizontal="center"/>
    </xf>
    <xf numFmtId="4" fontId="55" fillId="9" borderId="30" xfId="0" applyNumberFormat="1" applyFont="1" applyFill="1" applyBorder="1" applyAlignment="1">
      <alignment horizontal="center"/>
    </xf>
    <xf numFmtId="0" fontId="55" fillId="9" borderId="36" xfId="0" applyFont="1" applyFill="1" applyBorder="1" applyAlignment="1">
      <alignment horizontal="left" indent="3"/>
    </xf>
    <xf numFmtId="0" fontId="55" fillId="9" borderId="37" xfId="0" applyFont="1" applyFill="1" applyBorder="1" applyAlignment="1">
      <alignment horizontal="left" indent="3"/>
    </xf>
    <xf numFmtId="0" fontId="55" fillId="9" borderId="53" xfId="0" applyFont="1" applyFill="1" applyBorder="1" applyAlignment="1">
      <alignment horizontal="left" indent="3"/>
    </xf>
    <xf numFmtId="0" fontId="55" fillId="9" borderId="41" xfId="0" applyFont="1" applyFill="1" applyBorder="1" applyAlignment="1">
      <alignment horizontal="left" indent="3"/>
    </xf>
    <xf numFmtId="0" fontId="55" fillId="9" borderId="29" xfId="0" applyFont="1" applyFill="1" applyBorder="1" applyAlignment="1">
      <alignment horizontal="left" indent="3"/>
    </xf>
    <xf numFmtId="0" fontId="55" fillId="9" borderId="54" xfId="0" applyFont="1" applyFill="1" applyBorder="1" applyAlignment="1">
      <alignment horizontal="left" indent="3"/>
    </xf>
    <xf numFmtId="49" fontId="55" fillId="15" borderId="22" xfId="0" applyNumberFormat="1" applyFont="1" applyFill="1" applyBorder="1" applyAlignment="1">
      <alignment horizontal="center"/>
    </xf>
    <xf numFmtId="49" fontId="55" fillId="15" borderId="3" xfId="0" applyNumberFormat="1" applyFont="1" applyFill="1" applyBorder="1" applyAlignment="1">
      <alignment horizontal="center"/>
    </xf>
    <xf numFmtId="49" fontId="42" fillId="15" borderId="3" xfId="0" applyNumberFormat="1" applyFont="1" applyFill="1" applyBorder="1" applyAlignment="1">
      <alignment horizontal="center"/>
    </xf>
    <xf numFmtId="4" fontId="55" fillId="15" borderId="3" xfId="0" applyNumberFormat="1" applyFont="1" applyFill="1" applyBorder="1" applyAlignment="1">
      <alignment horizontal="center"/>
    </xf>
    <xf numFmtId="0" fontId="55" fillId="15" borderId="3" xfId="0" applyNumberFormat="1" applyFont="1" applyFill="1" applyBorder="1" applyAlignment="1">
      <alignment horizontal="center"/>
    </xf>
    <xf numFmtId="0" fontId="55" fillId="15" borderId="8" xfId="0" applyNumberFormat="1" applyFont="1" applyFill="1" applyBorder="1" applyAlignment="1">
      <alignment horizontal="center"/>
    </xf>
    <xf numFmtId="0" fontId="55" fillId="15" borderId="21" xfId="0" applyFont="1" applyFill="1" applyBorder="1" applyAlignment="1">
      <alignment horizontal="left" indent="3"/>
    </xf>
    <xf numFmtId="0" fontId="55" fillId="15" borderId="24" xfId="0" applyFont="1" applyFill="1" applyBorder="1" applyAlignment="1">
      <alignment horizontal="left" indent="3"/>
    </xf>
    <xf numFmtId="0" fontId="55" fillId="15" borderId="25" xfId="0" applyFont="1" applyFill="1" applyBorder="1" applyAlignment="1">
      <alignment horizontal="left" indent="3"/>
    </xf>
    <xf numFmtId="0" fontId="55" fillId="9" borderId="21" xfId="0" applyFont="1" applyFill="1" applyBorder="1" applyAlignment="1">
      <alignment horizontal="left" indent="3"/>
    </xf>
    <xf numFmtId="0" fontId="55" fillId="9" borderId="24" xfId="0" applyFont="1" applyFill="1" applyBorder="1" applyAlignment="1">
      <alignment horizontal="left" indent="3"/>
    </xf>
    <xf numFmtId="0" fontId="55" fillId="9" borderId="25" xfId="0" applyFont="1" applyFill="1" applyBorder="1" applyAlignment="1">
      <alignment horizontal="left" indent="3"/>
    </xf>
    <xf numFmtId="0" fontId="55" fillId="9" borderId="46" xfId="0" applyFont="1" applyFill="1" applyBorder="1" applyAlignment="1">
      <alignment horizontal="left" indent="3"/>
    </xf>
    <xf numFmtId="0" fontId="55" fillId="9" borderId="0" xfId="0" applyFont="1" applyFill="1" applyBorder="1" applyAlignment="1">
      <alignment horizontal="left" indent="3"/>
    </xf>
    <xf numFmtId="0" fontId="55" fillId="9" borderId="56" xfId="0" applyFont="1" applyFill="1" applyBorder="1" applyAlignment="1">
      <alignment horizontal="left" indent="3"/>
    </xf>
    <xf numFmtId="0" fontId="42" fillId="15" borderId="41" xfId="0" applyFont="1" applyFill="1" applyBorder="1" applyAlignment="1">
      <alignment horizontal="left" indent="1"/>
    </xf>
    <xf numFmtId="0" fontId="42" fillId="15" borderId="29" xfId="0" applyFont="1" applyFill="1" applyBorder="1" applyAlignment="1">
      <alignment horizontal="left" indent="1"/>
    </xf>
    <xf numFmtId="0" fontId="42" fillId="15" borderId="54" xfId="0" applyFont="1" applyFill="1" applyBorder="1" applyAlignment="1">
      <alignment horizontal="left" indent="1"/>
    </xf>
    <xf numFmtId="49" fontId="42" fillId="15" borderId="22" xfId="0" applyNumberFormat="1" applyFont="1" applyFill="1" applyBorder="1" applyAlignment="1">
      <alignment horizontal="center"/>
    </xf>
    <xf numFmtId="4" fontId="42" fillId="15" borderId="3" xfId="0" applyNumberFormat="1" applyFont="1" applyFill="1" applyBorder="1" applyAlignment="1">
      <alignment horizontal="center"/>
    </xf>
    <xf numFmtId="0" fontId="42" fillId="15" borderId="3" xfId="0" applyNumberFormat="1" applyFont="1" applyFill="1" applyBorder="1" applyAlignment="1">
      <alignment horizontal="center"/>
    </xf>
    <xf numFmtId="0" fontId="42" fillId="15" borderId="8" xfId="0" applyNumberFormat="1" applyFont="1" applyFill="1" applyBorder="1" applyAlignment="1">
      <alignment horizontal="center"/>
    </xf>
    <xf numFmtId="0" fontId="42" fillId="14" borderId="21" xfId="0" applyFont="1" applyFill="1" applyBorder="1" applyAlignment="1">
      <alignment horizontal="left" indent="1"/>
    </xf>
    <xf numFmtId="0" fontId="42" fillId="14" borderId="24" xfId="0" applyFont="1" applyFill="1" applyBorder="1" applyAlignment="1">
      <alignment horizontal="left" indent="1"/>
    </xf>
    <xf numFmtId="0" fontId="42" fillId="14" borderId="25" xfId="0" applyFont="1" applyFill="1" applyBorder="1" applyAlignment="1">
      <alignment horizontal="left" indent="1"/>
    </xf>
    <xf numFmtId="49" fontId="42" fillId="14" borderId="22" xfId="0" applyNumberFormat="1" applyFont="1" applyFill="1" applyBorder="1" applyAlignment="1">
      <alignment horizontal="center"/>
    </xf>
    <xf numFmtId="49" fontId="42" fillId="14" borderId="3" xfId="0" applyNumberFormat="1" applyFont="1" applyFill="1" applyBorder="1" applyAlignment="1">
      <alignment horizontal="center"/>
    </xf>
    <xf numFmtId="4" fontId="42" fillId="14" borderId="3" xfId="0" applyNumberFormat="1" applyFont="1" applyFill="1" applyBorder="1" applyAlignment="1">
      <alignment horizontal="center"/>
    </xf>
    <xf numFmtId="0" fontId="42" fillId="14" borderId="3" xfId="0" applyNumberFormat="1" applyFont="1" applyFill="1" applyBorder="1" applyAlignment="1">
      <alignment horizontal="center"/>
    </xf>
    <xf numFmtId="0" fontId="42" fillId="14" borderId="8" xfId="0" applyNumberFormat="1" applyFont="1" applyFill="1" applyBorder="1" applyAlignment="1">
      <alignment horizontal="center"/>
    </xf>
    <xf numFmtId="0" fontId="55" fillId="9" borderId="49" xfId="0" applyNumberFormat="1" applyFont="1" applyFill="1" applyBorder="1" applyAlignment="1">
      <alignment horizontal="right"/>
    </xf>
    <xf numFmtId="0" fontId="55" fillId="9" borderId="37" xfId="0" applyNumberFormat="1" applyFont="1" applyFill="1" applyBorder="1" applyAlignment="1">
      <alignment horizontal="right"/>
    </xf>
    <xf numFmtId="0" fontId="55" fillId="9" borderId="53" xfId="0" applyNumberFormat="1" applyFont="1" applyFill="1" applyBorder="1" applyAlignment="1">
      <alignment horizontal="right"/>
    </xf>
    <xf numFmtId="0" fontId="55" fillId="9" borderId="55" xfId="0" applyNumberFormat="1" applyFont="1" applyFill="1" applyBorder="1" applyAlignment="1">
      <alignment horizontal="right"/>
    </xf>
    <xf numFmtId="0" fontId="55" fillId="9" borderId="29" xfId="0" applyNumberFormat="1" applyFont="1" applyFill="1" applyBorder="1" applyAlignment="1">
      <alignment horizontal="right"/>
    </xf>
    <xf numFmtId="0" fontId="55" fillId="9" borderId="54" xfId="0" applyNumberFormat="1" applyFont="1" applyFill="1" applyBorder="1" applyAlignment="1">
      <alignment horizontal="right"/>
    </xf>
    <xf numFmtId="0" fontId="55" fillId="15" borderId="39" xfId="0" applyFont="1" applyFill="1" applyBorder="1" applyAlignment="1">
      <alignment horizontal="left" indent="2"/>
    </xf>
    <xf numFmtId="0" fontId="55" fillId="15" borderId="27" xfId="0" applyFont="1" applyFill="1" applyBorder="1" applyAlignment="1">
      <alignment horizontal="left" indent="2"/>
    </xf>
    <xf numFmtId="0" fontId="55" fillId="15" borderId="28" xfId="0" applyFont="1" applyFill="1" applyBorder="1" applyAlignment="1">
      <alignment horizontal="left" indent="2"/>
    </xf>
    <xf numFmtId="0" fontId="55" fillId="9" borderId="41" xfId="0" applyFont="1" applyFill="1" applyBorder="1" applyAlignment="1">
      <alignment horizontal="left"/>
    </xf>
    <xf numFmtId="0" fontId="55" fillId="9" borderId="29" xfId="0" applyFont="1" applyFill="1" applyBorder="1" applyAlignment="1">
      <alignment horizontal="left"/>
    </xf>
    <xf numFmtId="0" fontId="55" fillId="9" borderId="24" xfId="0" applyFont="1" applyFill="1" applyBorder="1" applyAlignment="1">
      <alignment horizontal="left"/>
    </xf>
    <xf numFmtId="0" fontId="55" fillId="9" borderId="25" xfId="0" applyFont="1" applyFill="1" applyBorder="1" applyAlignment="1">
      <alignment horizontal="left"/>
    </xf>
    <xf numFmtId="49" fontId="42" fillId="9" borderId="36" xfId="0" applyNumberFormat="1" applyFont="1" applyFill="1" applyBorder="1" applyAlignment="1">
      <alignment horizontal="center"/>
    </xf>
    <xf numFmtId="49" fontId="42" fillId="9" borderId="41" xfId="0" applyNumberFormat="1" applyFont="1" applyFill="1" applyBorder="1" applyAlignment="1">
      <alignment horizontal="center"/>
    </xf>
    <xf numFmtId="4" fontId="42" fillId="9" borderId="30" xfId="0" applyNumberFormat="1" applyFont="1" applyFill="1" applyBorder="1" applyAlignment="1">
      <alignment horizontal="center"/>
    </xf>
    <xf numFmtId="0" fontId="42" fillId="9" borderId="41" xfId="0" applyFont="1" applyFill="1" applyBorder="1" applyAlignment="1">
      <alignment horizontal="left" indent="2"/>
    </xf>
    <xf numFmtId="0" fontId="42" fillId="9" borderId="29" xfId="0" applyFont="1" applyFill="1" applyBorder="1" applyAlignment="1">
      <alignment horizontal="left" indent="2"/>
    </xf>
    <xf numFmtId="49" fontId="55" fillId="9" borderId="36" xfId="0" applyNumberFormat="1" applyFont="1" applyFill="1" applyBorder="1" applyAlignment="1">
      <alignment horizontal="center"/>
    </xf>
    <xf numFmtId="49" fontId="55" fillId="9" borderId="46" xfId="0" applyNumberFormat="1" applyFont="1" applyFill="1" applyBorder="1" applyAlignment="1">
      <alignment horizontal="center"/>
    </xf>
    <xf numFmtId="49" fontId="55" fillId="9" borderId="41" xfId="0" applyNumberFormat="1" applyFont="1" applyFill="1" applyBorder="1" applyAlignment="1">
      <alignment horizontal="center"/>
    </xf>
    <xf numFmtId="0" fontId="55" fillId="9" borderId="52" xfId="0" applyNumberFormat="1" applyFont="1" applyFill="1" applyBorder="1" applyAlignment="1">
      <alignment horizontal="right"/>
    </xf>
    <xf numFmtId="0" fontId="55" fillId="9" borderId="0" xfId="0" applyNumberFormat="1" applyFont="1" applyFill="1" applyBorder="1" applyAlignment="1">
      <alignment horizontal="right"/>
    </xf>
    <xf numFmtId="0" fontId="55" fillId="9" borderId="56" xfId="0" applyNumberFormat="1" applyFont="1" applyFill="1" applyBorder="1" applyAlignment="1">
      <alignment horizontal="right"/>
    </xf>
    <xf numFmtId="0" fontId="42" fillId="9" borderId="41" xfId="0" applyFont="1" applyFill="1" applyBorder="1" applyAlignment="1"/>
    <xf numFmtId="0" fontId="42" fillId="9" borderId="29" xfId="0" applyFont="1" applyFill="1" applyBorder="1" applyAlignment="1"/>
    <xf numFmtId="0" fontId="42" fillId="9" borderId="54" xfId="0" applyFont="1" applyFill="1" applyBorder="1" applyAlignment="1"/>
    <xf numFmtId="49" fontId="42" fillId="9" borderId="2" xfId="0" applyNumberFormat="1" applyFont="1" applyFill="1" applyBorder="1" applyAlignment="1">
      <alignment horizontal="center"/>
    </xf>
    <xf numFmtId="0" fontId="42" fillId="9" borderId="21" xfId="0" applyFont="1" applyFill="1" applyBorder="1" applyAlignment="1"/>
    <xf numFmtId="0" fontId="42" fillId="9" borderId="24" xfId="0" applyFont="1" applyFill="1" applyBorder="1" applyAlignment="1"/>
    <xf numFmtId="0" fontId="45" fillId="9" borderId="0" xfId="0" applyFont="1" applyFill="1" applyAlignment="1">
      <alignment horizontal="left" vertical="center" wrapText="1"/>
    </xf>
    <xf numFmtId="0" fontId="44" fillId="9" borderId="0" xfId="0" applyFont="1" applyFill="1" applyAlignment="1">
      <alignment horizontal="left" vertical="center"/>
    </xf>
    <xf numFmtId="0" fontId="44" fillId="9" borderId="0" xfId="0" applyFont="1" applyFill="1" applyAlignment="1">
      <alignment horizontal="left" vertical="center" wrapText="1"/>
    </xf>
    <xf numFmtId="0" fontId="45" fillId="9" borderId="0" xfId="0" applyFont="1" applyFill="1" applyAlignment="1">
      <alignment horizontal="left" vertical="center"/>
    </xf>
    <xf numFmtId="0" fontId="30" fillId="9" borderId="39" xfId="0" applyFont="1" applyFill="1" applyBorder="1" applyAlignment="1">
      <alignment horizontal="left" indent="2"/>
    </xf>
    <xf numFmtId="0" fontId="30" fillId="9" borderId="27" xfId="0" applyFont="1" applyFill="1" applyBorder="1" applyAlignment="1">
      <alignment horizontal="left" indent="2"/>
    </xf>
    <xf numFmtId="0" fontId="30" fillId="9" borderId="7" xfId="0" applyNumberFormat="1" applyFont="1" applyFill="1" applyBorder="1" applyAlignment="1">
      <alignment horizontal="left"/>
    </xf>
    <xf numFmtId="0" fontId="30" fillId="9" borderId="7" xfId="0" applyNumberFormat="1" applyFont="1" applyFill="1" applyBorder="1" applyAlignment="1">
      <alignment horizontal="right"/>
    </xf>
    <xf numFmtId="0" fontId="30" fillId="9" borderId="26" xfId="0" applyNumberFormat="1" applyFont="1" applyFill="1" applyBorder="1" applyAlignment="1">
      <alignment horizontal="right"/>
    </xf>
    <xf numFmtId="0" fontId="30" fillId="9" borderId="27" xfId="0" applyNumberFormat="1" applyFont="1" applyFill="1" applyBorder="1" applyAlignment="1">
      <alignment horizontal="right"/>
    </xf>
    <xf numFmtId="0" fontId="30" fillId="9" borderId="28" xfId="0" applyNumberFormat="1" applyFont="1" applyFill="1" applyBorder="1" applyAlignment="1">
      <alignment horizontal="right"/>
    </xf>
    <xf numFmtId="4" fontId="55" fillId="12" borderId="23" xfId="0" applyNumberFormat="1" applyFont="1" applyFill="1" applyBorder="1" applyAlignment="1">
      <alignment horizontal="center"/>
    </xf>
    <xf numFmtId="4" fontId="55" fillId="12" borderId="24" xfId="0" applyNumberFormat="1" applyFont="1" applyFill="1" applyBorder="1" applyAlignment="1">
      <alignment horizontal="center"/>
    </xf>
    <xf numFmtId="4" fontId="55" fillId="12" borderId="25" xfId="0" applyNumberFormat="1" applyFont="1" applyFill="1" applyBorder="1" applyAlignment="1">
      <alignment horizontal="center"/>
    </xf>
    <xf numFmtId="0" fontId="30" fillId="12" borderId="21" xfId="0" applyFont="1" applyFill="1" applyBorder="1" applyAlignment="1">
      <alignment horizontal="center" wrapText="1"/>
    </xf>
    <xf numFmtId="0" fontId="30" fillId="12" borderId="24" xfId="0" applyFont="1" applyFill="1" applyBorder="1" applyAlignment="1">
      <alignment horizontal="center" wrapText="1"/>
    </xf>
    <xf numFmtId="0" fontId="30" fillId="12" borderId="25" xfId="0" applyFont="1" applyFill="1" applyBorder="1" applyAlignment="1">
      <alignment horizontal="center" wrapText="1"/>
    </xf>
    <xf numFmtId="4" fontId="55" fillId="12" borderId="22" xfId="0" applyNumberFormat="1" applyFont="1" applyFill="1" applyBorder="1" applyAlignment="1">
      <alignment horizontal="center"/>
    </xf>
    <xf numFmtId="4" fontId="55" fillId="12" borderId="3" xfId="0" applyNumberFormat="1" applyFont="1" applyFill="1" applyBorder="1" applyAlignment="1">
      <alignment horizontal="center"/>
    </xf>
    <xf numFmtId="49" fontId="55" fillId="9" borderId="24" xfId="0" applyNumberFormat="1" applyFont="1" applyFill="1" applyBorder="1" applyAlignment="1">
      <alignment horizontal="center"/>
    </xf>
    <xf numFmtId="49" fontId="55" fillId="9" borderId="23" xfId="0" applyNumberFormat="1" applyFont="1" applyFill="1" applyBorder="1" applyAlignment="1">
      <alignment horizontal="center"/>
    </xf>
    <xf numFmtId="49" fontId="30" fillId="9" borderId="22" xfId="0" applyNumberFormat="1" applyFont="1" applyFill="1" applyBorder="1" applyAlignment="1">
      <alignment horizontal="center"/>
    </xf>
    <xf numFmtId="0" fontId="55" fillId="9" borderId="21" xfId="0" applyFont="1" applyFill="1" applyBorder="1" applyAlignment="1">
      <alignment horizontal="left"/>
    </xf>
    <xf numFmtId="49" fontId="55" fillId="9" borderId="21" xfId="0" applyNumberFormat="1" applyFont="1" applyFill="1" applyBorder="1" applyAlignment="1">
      <alignment horizontal="center"/>
    </xf>
    <xf numFmtId="0" fontId="55" fillId="9" borderId="21" xfId="0" applyFont="1" applyFill="1" applyBorder="1" applyAlignment="1">
      <alignment horizontal="left" wrapText="1"/>
    </xf>
    <xf numFmtId="0" fontId="55" fillId="9" borderId="24" xfId="0" applyFont="1" applyFill="1" applyBorder="1" applyAlignment="1">
      <alignment horizontal="left" wrapText="1"/>
    </xf>
    <xf numFmtId="0" fontId="55" fillId="9" borderId="25" xfId="0" applyFont="1" applyFill="1" applyBorder="1" applyAlignment="1">
      <alignment horizontal="left" wrapText="1"/>
    </xf>
    <xf numFmtId="4" fontId="55" fillId="9" borderId="54" xfId="0" applyNumberFormat="1" applyFont="1" applyFill="1" applyBorder="1" applyAlignment="1">
      <alignment horizontal="center"/>
    </xf>
    <xf numFmtId="0" fontId="55" fillId="15" borderId="21" xfId="0" applyFont="1" applyFill="1" applyBorder="1" applyAlignment="1">
      <alignment horizontal="left" indent="2"/>
    </xf>
    <xf numFmtId="0" fontId="55" fillId="15" borderId="24" xfId="0" applyFont="1" applyFill="1" applyBorder="1" applyAlignment="1">
      <alignment horizontal="left" indent="2"/>
    </xf>
    <xf numFmtId="49" fontId="55" fillId="15" borderId="2" xfId="0" applyNumberFormat="1" applyFont="1" applyFill="1" applyBorder="1" applyAlignment="1">
      <alignment horizontal="center"/>
    </xf>
    <xf numFmtId="0" fontId="55" fillId="15" borderId="23" xfId="0" applyNumberFormat="1" applyFont="1" applyFill="1" applyBorder="1" applyAlignment="1">
      <alignment horizontal="right"/>
    </xf>
    <xf numFmtId="0" fontId="55" fillId="15" borderId="24" xfId="0" applyNumberFormat="1" applyFont="1" applyFill="1" applyBorder="1" applyAlignment="1">
      <alignment horizontal="right"/>
    </xf>
    <xf numFmtId="0" fontId="55" fillId="15" borderId="25" xfId="0" applyNumberFormat="1" applyFont="1" applyFill="1" applyBorder="1" applyAlignment="1">
      <alignment horizontal="right"/>
    </xf>
    <xf numFmtId="4" fontId="31" fillId="9" borderId="23" xfId="0" applyNumberFormat="1" applyFont="1" applyFill="1" applyBorder="1" applyAlignment="1">
      <alignment horizontal="center"/>
    </xf>
    <xf numFmtId="4" fontId="31" fillId="9" borderId="24" xfId="0" applyNumberFormat="1" applyFont="1" applyFill="1" applyBorder="1" applyAlignment="1">
      <alignment horizontal="center"/>
    </xf>
    <xf numFmtId="4" fontId="31" fillId="9" borderId="22" xfId="0" applyNumberFormat="1" applyFont="1" applyFill="1" applyBorder="1" applyAlignment="1">
      <alignment horizontal="center"/>
    </xf>
    <xf numFmtId="4" fontId="55" fillId="9" borderId="8" xfId="0" applyNumberFormat="1" applyFont="1" applyFill="1" applyBorder="1" applyAlignment="1">
      <alignment horizontal="center"/>
    </xf>
    <xf numFmtId="49" fontId="31" fillId="9" borderId="2" xfId="0" applyNumberFormat="1" applyFont="1" applyFill="1" applyBorder="1" applyAlignment="1">
      <alignment horizontal="center"/>
    </xf>
    <xf numFmtId="49" fontId="31" fillId="9" borderId="3" xfId="0" applyNumberFormat="1" applyFont="1" applyFill="1" applyBorder="1" applyAlignment="1">
      <alignment horizontal="center"/>
    </xf>
    <xf numFmtId="4" fontId="30" fillId="9" borderId="6" xfId="0" applyNumberFormat="1" applyFont="1" applyFill="1" applyBorder="1" applyAlignment="1">
      <alignment horizontal="center"/>
    </xf>
    <xf numFmtId="49" fontId="30" fillId="9" borderId="6" xfId="0" applyNumberFormat="1" applyFont="1" applyFill="1" applyBorder="1" applyAlignment="1">
      <alignment horizontal="center"/>
    </xf>
    <xf numFmtId="49" fontId="30" fillId="9" borderId="23" xfId="0" applyNumberFormat="1" applyFont="1" applyFill="1" applyBorder="1" applyAlignment="1">
      <alignment horizontal="center"/>
    </xf>
    <xf numFmtId="0" fontId="55" fillId="9" borderId="69" xfId="0" applyFont="1" applyFill="1" applyBorder="1" applyAlignment="1">
      <alignment horizontal="center" vertical="center"/>
    </xf>
    <xf numFmtId="0" fontId="55" fillId="9" borderId="68" xfId="0" applyFont="1" applyFill="1" applyBorder="1" applyAlignment="1">
      <alignment horizontal="center" vertical="center"/>
    </xf>
    <xf numFmtId="0" fontId="55" fillId="9" borderId="52" xfId="0" applyFont="1" applyFill="1" applyBorder="1" applyAlignment="1">
      <alignment horizontal="center" vertical="center"/>
    </xf>
    <xf numFmtId="0" fontId="55" fillId="9" borderId="47" xfId="0" applyFont="1" applyFill="1" applyBorder="1" applyAlignment="1">
      <alignment horizontal="center" vertical="center"/>
    </xf>
    <xf numFmtId="0" fontId="55" fillId="9" borderId="55" xfId="0" applyFont="1" applyFill="1" applyBorder="1" applyAlignment="1">
      <alignment horizontal="center" vertical="center"/>
    </xf>
    <xf numFmtId="0" fontId="55" fillId="9" borderId="30" xfId="0" applyFont="1" applyFill="1" applyBorder="1" applyAlignment="1">
      <alignment horizontal="center" vertical="center"/>
    </xf>
    <xf numFmtId="0" fontId="57" fillId="9" borderId="0" xfId="0" applyFont="1" applyFill="1" applyAlignment="1">
      <alignment horizontal="center"/>
    </xf>
    <xf numFmtId="0" fontId="32" fillId="9" borderId="69" xfId="0" applyFont="1" applyFill="1" applyBorder="1" applyAlignment="1">
      <alignment horizontal="center" vertical="center"/>
    </xf>
    <xf numFmtId="0" fontId="32" fillId="9" borderId="18" xfId="0" applyFont="1" applyFill="1" applyBorder="1" applyAlignment="1">
      <alignment horizontal="center" vertical="center"/>
    </xf>
    <xf numFmtId="0" fontId="32" fillId="9" borderId="68" xfId="0" applyFont="1" applyFill="1" applyBorder="1" applyAlignment="1">
      <alignment horizontal="center" vertical="center"/>
    </xf>
    <xf numFmtId="0" fontId="32" fillId="9" borderId="44" xfId="0" applyFont="1" applyFill="1" applyBorder="1" applyAlignment="1">
      <alignment horizontal="center" vertical="center"/>
    </xf>
    <xf numFmtId="0" fontId="32" fillId="9" borderId="70" xfId="0" applyFont="1" applyFill="1" applyBorder="1" applyAlignment="1">
      <alignment horizontal="center" vertical="center"/>
    </xf>
    <xf numFmtId="0" fontId="32" fillId="9" borderId="71" xfId="0" applyFont="1" applyFill="1" applyBorder="1" applyAlignment="1">
      <alignment horizontal="center" vertical="center"/>
    </xf>
    <xf numFmtId="0" fontId="30" fillId="9" borderId="49" xfId="0" applyFont="1" applyFill="1" applyBorder="1" applyAlignment="1">
      <alignment horizontal="left" indent="1"/>
    </xf>
    <xf numFmtId="0" fontId="30" fillId="9" borderId="37" xfId="0" applyFont="1" applyFill="1" applyBorder="1" applyAlignment="1">
      <alignment horizontal="left" indent="1"/>
    </xf>
    <xf numFmtId="0" fontId="30" fillId="9" borderId="53" xfId="0" applyFont="1" applyFill="1" applyBorder="1" applyAlignment="1">
      <alignment horizontal="left" indent="1"/>
    </xf>
    <xf numFmtId="0" fontId="30" fillId="9" borderId="38" xfId="0" applyFont="1" applyFill="1" applyBorder="1" applyAlignment="1">
      <alignment horizontal="left" indent="1"/>
    </xf>
    <xf numFmtId="0" fontId="30" fillId="9" borderId="4" xfId="0" applyFont="1" applyFill="1" applyBorder="1" applyAlignment="1">
      <alignment horizontal="left" indent="1"/>
    </xf>
    <xf numFmtId="0" fontId="32" fillId="9" borderId="21" xfId="0" applyFont="1" applyFill="1" applyBorder="1" applyAlignment="1">
      <alignment horizontal="center" vertical="center"/>
    </xf>
    <xf numFmtId="0" fontId="32" fillId="9" borderId="24" xfId="0" applyFont="1" applyFill="1" applyBorder="1" applyAlignment="1">
      <alignment horizontal="center" vertical="center"/>
    </xf>
    <xf numFmtId="0" fontId="32" fillId="9" borderId="22" xfId="0" applyFont="1" applyFill="1" applyBorder="1" applyAlignment="1">
      <alignment horizontal="center" vertical="center"/>
    </xf>
    <xf numFmtId="0" fontId="32" fillId="9" borderId="3" xfId="0" applyFont="1" applyFill="1" applyBorder="1" applyAlignment="1">
      <alignment horizontal="center" vertical="center"/>
    </xf>
    <xf numFmtId="0" fontId="32" fillId="9" borderId="52" xfId="0" applyFont="1" applyFill="1" applyBorder="1" applyAlignment="1">
      <alignment horizontal="center" vertical="center"/>
    </xf>
    <xf numFmtId="0" fontId="32" fillId="9" borderId="0" xfId="0" applyFont="1" applyFill="1" applyBorder="1" applyAlignment="1">
      <alignment horizontal="center" vertical="center"/>
    </xf>
    <xf numFmtId="0" fontId="32" fillId="9" borderId="56" xfId="0" applyFont="1" applyFill="1" applyBorder="1" applyAlignment="1">
      <alignment horizontal="center" vertical="center"/>
    </xf>
    <xf numFmtId="0" fontId="32" fillId="9" borderId="47" xfId="0" applyFont="1" applyFill="1" applyBorder="1" applyAlignment="1">
      <alignment horizontal="center" vertical="center"/>
    </xf>
    <xf numFmtId="0" fontId="32" fillId="9" borderId="45" xfId="0" applyFont="1" applyFill="1" applyBorder="1" applyAlignment="1">
      <alignment horizontal="center" vertical="center"/>
    </xf>
    <xf numFmtId="0" fontId="32" fillId="9" borderId="46" xfId="0" applyFont="1" applyFill="1" applyBorder="1" applyAlignment="1">
      <alignment horizontal="center" vertical="center"/>
    </xf>
    <xf numFmtId="0" fontId="32" fillId="9" borderId="41" xfId="0" applyFont="1" applyFill="1" applyBorder="1" applyAlignment="1">
      <alignment horizontal="center" vertical="center"/>
    </xf>
    <xf numFmtId="0" fontId="32" fillId="9" borderId="29" xfId="0" applyFont="1" applyFill="1" applyBorder="1" applyAlignment="1">
      <alignment horizontal="center" vertical="center"/>
    </xf>
    <xf numFmtId="0" fontId="32" fillId="9" borderId="30" xfId="0" applyFont="1" applyFill="1" applyBorder="1" applyAlignment="1">
      <alignment horizontal="center" vertical="center"/>
    </xf>
    <xf numFmtId="0" fontId="30" fillId="9" borderId="52" xfId="0" applyFont="1" applyFill="1" applyBorder="1" applyAlignment="1">
      <alignment horizontal="center" vertical="center"/>
    </xf>
    <xf numFmtId="0" fontId="30" fillId="9" borderId="0" xfId="0" applyFont="1" applyFill="1" applyBorder="1" applyAlignment="1">
      <alignment horizontal="center" vertical="center"/>
    </xf>
    <xf numFmtId="0" fontId="30" fillId="9" borderId="47" xfId="0" applyFont="1" applyFill="1" applyBorder="1" applyAlignment="1">
      <alignment horizontal="center" vertical="center"/>
    </xf>
    <xf numFmtId="49" fontId="32" fillId="9" borderId="69" xfId="0" applyNumberFormat="1" applyFont="1" applyFill="1" applyBorder="1" applyAlignment="1">
      <alignment horizontal="center" vertical="center" wrapText="1"/>
    </xf>
    <xf numFmtId="49" fontId="32" fillId="9" borderId="18" xfId="0" applyNumberFormat="1" applyFont="1" applyFill="1" applyBorder="1" applyAlignment="1">
      <alignment horizontal="center" vertical="center" wrapText="1"/>
    </xf>
    <xf numFmtId="49" fontId="32" fillId="9" borderId="68" xfId="0" applyNumberFormat="1" applyFont="1" applyFill="1" applyBorder="1" applyAlignment="1">
      <alignment horizontal="center" vertical="center" wrapText="1"/>
    </xf>
    <xf numFmtId="49" fontId="32" fillId="9" borderId="52" xfId="0" applyNumberFormat="1" applyFont="1" applyFill="1" applyBorder="1" applyAlignment="1">
      <alignment horizontal="center" vertical="center" wrapText="1"/>
    </xf>
    <xf numFmtId="49" fontId="32" fillId="9" borderId="0" xfId="0" applyNumberFormat="1" applyFont="1" applyFill="1" applyBorder="1" applyAlignment="1">
      <alignment horizontal="center" vertical="center" wrapText="1"/>
    </xf>
    <xf numFmtId="49" fontId="32" fillId="9" borderId="47" xfId="0" applyNumberFormat="1" applyFont="1" applyFill="1" applyBorder="1" applyAlignment="1">
      <alignment horizontal="center" vertical="center" wrapText="1"/>
    </xf>
    <xf numFmtId="49" fontId="32" fillId="9" borderId="55" xfId="0" applyNumberFormat="1" applyFont="1" applyFill="1" applyBorder="1" applyAlignment="1">
      <alignment horizontal="center" vertical="center" wrapText="1"/>
    </xf>
    <xf numFmtId="49" fontId="32" fillId="9" borderId="29" xfId="0" applyNumberFormat="1" applyFont="1" applyFill="1" applyBorder="1" applyAlignment="1">
      <alignment horizontal="center" vertical="center" wrapText="1"/>
    </xf>
    <xf numFmtId="49" fontId="32" fillId="9" borderId="30" xfId="0" applyNumberFormat="1" applyFont="1" applyFill="1" applyBorder="1" applyAlignment="1">
      <alignment horizontal="center" vertical="center" wrapText="1"/>
    </xf>
    <xf numFmtId="0" fontId="32" fillId="9" borderId="4" xfId="0" applyFont="1" applyFill="1" applyBorder="1" applyAlignment="1">
      <alignment horizontal="center" vertical="center"/>
    </xf>
    <xf numFmtId="0" fontId="32" fillId="9" borderId="31" xfId="0" applyFont="1" applyFill="1" applyBorder="1" applyAlignment="1">
      <alignment horizontal="center" vertical="center"/>
    </xf>
    <xf numFmtId="49" fontId="66" fillId="9" borderId="21" xfId="0" applyNumberFormat="1" applyFont="1" applyFill="1" applyBorder="1" applyAlignment="1">
      <alignment horizontal="center"/>
    </xf>
    <xf numFmtId="49" fontId="66" fillId="9" borderId="24" xfId="0" applyNumberFormat="1" applyFont="1" applyFill="1" applyBorder="1" applyAlignment="1">
      <alignment horizontal="center"/>
    </xf>
    <xf numFmtId="49" fontId="66" fillId="9" borderId="22" xfId="0" applyNumberFormat="1" applyFont="1" applyFill="1" applyBorder="1" applyAlignment="1">
      <alignment horizontal="center"/>
    </xf>
    <xf numFmtId="0" fontId="66" fillId="9" borderId="24" xfId="0" applyFont="1" applyFill="1" applyBorder="1" applyAlignment="1"/>
    <xf numFmtId="49" fontId="66" fillId="9" borderId="9" xfId="0" applyNumberFormat="1" applyFont="1" applyFill="1" applyBorder="1" applyAlignment="1">
      <alignment horizontal="center" vertical="center"/>
    </xf>
    <xf numFmtId="49" fontId="66" fillId="9" borderId="1" xfId="0" applyNumberFormat="1" applyFont="1" applyFill="1" applyBorder="1" applyAlignment="1">
      <alignment horizontal="center" vertical="center"/>
    </xf>
    <xf numFmtId="49" fontId="30" fillId="9" borderId="1" xfId="0" applyNumberFormat="1" applyFont="1" applyFill="1" applyBorder="1" applyAlignment="1">
      <alignment horizontal="center"/>
    </xf>
    <xf numFmtId="4" fontId="66" fillId="9" borderId="1" xfId="0" applyNumberFormat="1" applyFont="1" applyFill="1" applyBorder="1" applyAlignment="1">
      <alignment horizontal="center"/>
    </xf>
    <xf numFmtId="0" fontId="66" fillId="9" borderId="1" xfId="0" applyNumberFormat="1" applyFont="1" applyFill="1" applyBorder="1" applyAlignment="1">
      <alignment horizontal="center"/>
    </xf>
    <xf numFmtId="0" fontId="66" fillId="9" borderId="11" xfId="0" applyNumberFormat="1" applyFont="1" applyFill="1" applyBorder="1" applyAlignment="1">
      <alignment horizontal="center"/>
    </xf>
    <xf numFmtId="49" fontId="32" fillId="9" borderId="26" xfId="0" applyNumberFormat="1" applyFont="1" applyFill="1" applyBorder="1" applyAlignment="1">
      <alignment horizontal="center" vertical="center"/>
    </xf>
    <xf numFmtId="49" fontId="32" fillId="9" borderId="27" xfId="0" applyNumberFormat="1" applyFont="1" applyFill="1" applyBorder="1" applyAlignment="1">
      <alignment horizontal="center" vertical="center"/>
    </xf>
    <xf numFmtId="49" fontId="32" fillId="9" borderId="40" xfId="0" applyNumberFormat="1" applyFont="1" applyFill="1" applyBorder="1" applyAlignment="1">
      <alignment horizontal="center" vertical="center"/>
    </xf>
    <xf numFmtId="49" fontId="30" fillId="9" borderId="70" xfId="0" applyNumberFormat="1" applyFont="1" applyFill="1" applyBorder="1" applyAlignment="1">
      <alignment horizontal="center"/>
    </xf>
    <xf numFmtId="49" fontId="30" fillId="9" borderId="48" xfId="0" applyNumberFormat="1" applyFont="1" applyFill="1" applyBorder="1" applyAlignment="1">
      <alignment horizontal="center"/>
    </xf>
    <xf numFmtId="49" fontId="30" fillId="9" borderId="44" xfId="0" applyNumberFormat="1" applyFont="1" applyFill="1" applyBorder="1" applyAlignment="1">
      <alignment horizontal="center"/>
    </xf>
    <xf numFmtId="4" fontId="30" fillId="9" borderId="49" xfId="0" applyNumberFormat="1" applyFont="1" applyFill="1" applyBorder="1" applyAlignment="1">
      <alignment horizontal="center"/>
    </xf>
    <xf numFmtId="4" fontId="30" fillId="9" borderId="37" xfId="0" applyNumberFormat="1" applyFont="1" applyFill="1" applyBorder="1" applyAlignment="1">
      <alignment horizontal="center"/>
    </xf>
    <xf numFmtId="4" fontId="30" fillId="9" borderId="53" xfId="0" applyNumberFormat="1" applyFont="1" applyFill="1" applyBorder="1" applyAlignment="1">
      <alignment horizontal="center"/>
    </xf>
    <xf numFmtId="4" fontId="30" fillId="9" borderId="52" xfId="0" applyNumberFormat="1" applyFont="1" applyFill="1" applyBorder="1" applyAlignment="1">
      <alignment horizontal="center"/>
    </xf>
    <xf numFmtId="4" fontId="30" fillId="9" borderId="0" xfId="0" applyNumberFormat="1" applyFont="1" applyFill="1" applyBorder="1" applyAlignment="1">
      <alignment horizontal="center"/>
    </xf>
    <xf numFmtId="4" fontId="30" fillId="9" borderId="56" xfId="0" applyNumberFormat="1" applyFont="1" applyFill="1" applyBorder="1" applyAlignment="1">
      <alignment horizontal="center"/>
    </xf>
    <xf numFmtId="4" fontId="30" fillId="9" borderId="55" xfId="0" applyNumberFormat="1" applyFont="1" applyFill="1" applyBorder="1" applyAlignment="1">
      <alignment horizontal="center"/>
    </xf>
    <xf numFmtId="4" fontId="30" fillId="9" borderId="29" xfId="0" applyNumberFormat="1" applyFont="1" applyFill="1" applyBorder="1" applyAlignment="1">
      <alignment horizontal="center"/>
    </xf>
    <xf numFmtId="4" fontId="30" fillId="9" borderId="54" xfId="0" applyNumberFormat="1" applyFont="1" applyFill="1" applyBorder="1" applyAlignment="1">
      <alignment horizontal="center"/>
    </xf>
    <xf numFmtId="0" fontId="30" fillId="9" borderId="52" xfId="0" applyFont="1" applyFill="1" applyBorder="1" applyAlignment="1">
      <alignment horizontal="left" indent="1"/>
    </xf>
    <xf numFmtId="0" fontId="30" fillId="9" borderId="0" xfId="0" applyFont="1" applyFill="1" applyBorder="1" applyAlignment="1">
      <alignment horizontal="left" indent="1"/>
    </xf>
    <xf numFmtId="0" fontId="30" fillId="9" borderId="56" xfId="0" applyFont="1" applyFill="1" applyBorder="1" applyAlignment="1">
      <alignment horizontal="left" indent="1"/>
    </xf>
    <xf numFmtId="0" fontId="30" fillId="9" borderId="29" xfId="0" applyFont="1" applyFill="1" applyBorder="1" applyAlignment="1">
      <alignment horizontal="left" indent="1"/>
    </xf>
    <xf numFmtId="49" fontId="30" fillId="9" borderId="36" xfId="0" applyNumberFormat="1" applyFont="1" applyFill="1" applyBorder="1" applyAlignment="1">
      <alignment horizontal="center" vertical="center"/>
    </xf>
    <xf numFmtId="49" fontId="30" fillId="9" borderId="37" xfId="0" applyNumberFormat="1" applyFont="1" applyFill="1" applyBorder="1" applyAlignment="1">
      <alignment horizontal="center" vertical="center"/>
    </xf>
    <xf numFmtId="49" fontId="30" fillId="9" borderId="38" xfId="0" applyNumberFormat="1" applyFont="1" applyFill="1" applyBorder="1" applyAlignment="1">
      <alignment horizontal="center" vertical="center"/>
    </xf>
    <xf numFmtId="49" fontId="30" fillId="9" borderId="46" xfId="0" applyNumberFormat="1" applyFont="1" applyFill="1" applyBorder="1" applyAlignment="1">
      <alignment horizontal="center" vertical="center"/>
    </xf>
    <xf numFmtId="49" fontId="30" fillId="9" borderId="0" xfId="0" applyNumberFormat="1" applyFont="1" applyFill="1" applyBorder="1" applyAlignment="1">
      <alignment horizontal="center" vertical="center"/>
    </xf>
    <xf numFmtId="49" fontId="30" fillId="9" borderId="47" xfId="0" applyNumberFormat="1" applyFont="1" applyFill="1" applyBorder="1" applyAlignment="1">
      <alignment horizontal="center" vertical="center"/>
    </xf>
    <xf numFmtId="49" fontId="30" fillId="9" borderId="41" xfId="0" applyNumberFormat="1" applyFont="1" applyFill="1" applyBorder="1" applyAlignment="1">
      <alignment horizontal="center" vertical="center"/>
    </xf>
    <xf numFmtId="49" fontId="30" fillId="9" borderId="29" xfId="0" applyNumberFormat="1" applyFont="1" applyFill="1" applyBorder="1" applyAlignment="1">
      <alignment horizontal="center" vertical="center"/>
    </xf>
    <xf numFmtId="49" fontId="30" fillId="9" borderId="30" xfId="0" applyNumberFormat="1" applyFont="1" applyFill="1" applyBorder="1" applyAlignment="1">
      <alignment horizontal="center" vertical="center"/>
    </xf>
    <xf numFmtId="49" fontId="30" fillId="9" borderId="49" xfId="0" applyNumberFormat="1" applyFont="1" applyFill="1" applyBorder="1" applyAlignment="1">
      <alignment horizontal="center"/>
    </xf>
    <xf numFmtId="49" fontId="30" fillId="9" borderId="37" xfId="0" applyNumberFormat="1" applyFont="1" applyFill="1" applyBorder="1" applyAlignment="1">
      <alignment horizontal="center"/>
    </xf>
    <xf numFmtId="49" fontId="30" fillId="9" borderId="38" xfId="0" applyNumberFormat="1" applyFont="1" applyFill="1" applyBorder="1" applyAlignment="1">
      <alignment horizontal="center"/>
    </xf>
    <xf numFmtId="49" fontId="30" fillId="9" borderId="52" xfId="0" applyNumberFormat="1" applyFont="1" applyFill="1" applyBorder="1" applyAlignment="1">
      <alignment horizontal="center"/>
    </xf>
    <xf numFmtId="49" fontId="30" fillId="9" borderId="0" xfId="0" applyNumberFormat="1" applyFont="1" applyFill="1" applyBorder="1" applyAlignment="1">
      <alignment horizontal="center"/>
    </xf>
    <xf numFmtId="49" fontId="30" fillId="9" borderId="47" xfId="0" applyNumberFormat="1" applyFont="1" applyFill="1" applyBorder="1" applyAlignment="1">
      <alignment horizontal="center"/>
    </xf>
    <xf numFmtId="49" fontId="30" fillId="9" borderId="55" xfId="0" applyNumberFormat="1" applyFont="1" applyFill="1" applyBorder="1" applyAlignment="1">
      <alignment horizontal="center"/>
    </xf>
    <xf numFmtId="49" fontId="30" fillId="9" borderId="29" xfId="0" applyNumberFormat="1" applyFont="1" applyFill="1" applyBorder="1" applyAlignment="1">
      <alignment horizontal="center"/>
    </xf>
    <xf numFmtId="49" fontId="30" fillId="9" borderId="30" xfId="0" applyNumberFormat="1" applyFont="1" applyFill="1" applyBorder="1" applyAlignment="1">
      <alignment horizontal="center"/>
    </xf>
    <xf numFmtId="4" fontId="30" fillId="9" borderId="38" xfId="0" applyNumberFormat="1" applyFont="1" applyFill="1" applyBorder="1" applyAlignment="1">
      <alignment horizontal="center"/>
    </xf>
    <xf numFmtId="4" fontId="30" fillId="9" borderId="47" xfId="0" applyNumberFormat="1" applyFont="1" applyFill="1" applyBorder="1" applyAlignment="1">
      <alignment horizontal="center"/>
    </xf>
    <xf numFmtId="4" fontId="30" fillId="9" borderId="30" xfId="0" applyNumberFormat="1" applyFont="1" applyFill="1" applyBorder="1" applyAlignment="1">
      <alignment horizontal="center"/>
    </xf>
    <xf numFmtId="0" fontId="30" fillId="9" borderId="37" xfId="0" applyFont="1" applyFill="1" applyBorder="1" applyAlignment="1">
      <alignment horizontal="left" indent="2"/>
    </xf>
    <xf numFmtId="0" fontId="30" fillId="9" borderId="0" xfId="0" applyFont="1" applyFill="1" applyBorder="1" applyAlignment="1">
      <alignment horizontal="left" indent="2"/>
    </xf>
    <xf numFmtId="0" fontId="30" fillId="9" borderId="29" xfId="0" applyFont="1" applyFill="1" applyBorder="1" applyAlignment="1">
      <alignment horizontal="left" indent="2"/>
    </xf>
    <xf numFmtId="0" fontId="30" fillId="9" borderId="29" xfId="0" applyFont="1" applyFill="1" applyBorder="1" applyAlignment="1">
      <alignment horizontal="left" indent="3"/>
    </xf>
    <xf numFmtId="0" fontId="30" fillId="9" borderId="23" xfId="0" applyFont="1" applyFill="1" applyBorder="1" applyAlignment="1">
      <alignment horizontal="left" indent="3"/>
    </xf>
    <xf numFmtId="0" fontId="30" fillId="9" borderId="24" xfId="0" applyFont="1" applyFill="1" applyBorder="1" applyAlignment="1">
      <alignment horizontal="left" indent="3"/>
    </xf>
    <xf numFmtId="0" fontId="30" fillId="9" borderId="25" xfId="0" applyFont="1" applyFill="1" applyBorder="1" applyAlignment="1">
      <alignment horizontal="left" indent="3"/>
    </xf>
    <xf numFmtId="49" fontId="30" fillId="9" borderId="2" xfId="0" applyNumberFormat="1" applyFont="1" applyFill="1" applyBorder="1" applyAlignment="1">
      <alignment horizontal="center" vertical="center"/>
    </xf>
    <xf numFmtId="49" fontId="30" fillId="9" borderId="3" xfId="0" applyNumberFormat="1" applyFont="1" applyFill="1" applyBorder="1" applyAlignment="1">
      <alignment horizontal="center" vertical="center"/>
    </xf>
    <xf numFmtId="0" fontId="30" fillId="9" borderId="37" xfId="0" applyFont="1" applyFill="1" applyBorder="1" applyAlignment="1">
      <alignment horizontal="left" indent="3"/>
    </xf>
    <xf numFmtId="0" fontId="30" fillId="9" borderId="23" xfId="0" applyFont="1" applyFill="1" applyBorder="1" applyAlignment="1">
      <alignment horizontal="left" indent="2"/>
    </xf>
    <xf numFmtId="0" fontId="30" fillId="9" borderId="24" xfId="0" applyFont="1" applyFill="1" applyBorder="1" applyAlignment="1">
      <alignment horizontal="left" indent="2"/>
    </xf>
    <xf numFmtId="0" fontId="30" fillId="9" borderId="25" xfId="0" applyFont="1" applyFill="1" applyBorder="1" applyAlignment="1">
      <alignment horizontal="left" indent="2"/>
    </xf>
    <xf numFmtId="49" fontId="30" fillId="9" borderId="41" xfId="0" applyNumberFormat="1" applyFont="1" applyFill="1" applyBorder="1" applyAlignment="1">
      <alignment horizontal="center"/>
    </xf>
    <xf numFmtId="0" fontId="30" fillId="9" borderId="0" xfId="0" applyFont="1" applyFill="1" applyBorder="1" applyAlignment="1">
      <alignment horizontal="left" indent="3"/>
    </xf>
    <xf numFmtId="0" fontId="30" fillId="9" borderId="56" xfId="0" applyFont="1" applyFill="1" applyBorder="1" applyAlignment="1">
      <alignment horizontal="left" indent="3"/>
    </xf>
    <xf numFmtId="0" fontId="30" fillId="9" borderId="54" xfId="0" applyFont="1" applyFill="1" applyBorder="1" applyAlignment="1">
      <alignment horizontal="left" indent="3"/>
    </xf>
    <xf numFmtId="0" fontId="30" fillId="9" borderId="29" xfId="0" applyFont="1" applyFill="1" applyBorder="1" applyAlignment="1"/>
    <xf numFmtId="0" fontId="30" fillId="9" borderId="38" xfId="0" applyFont="1" applyFill="1" applyBorder="1" applyAlignment="1"/>
    <xf numFmtId="0" fontId="30" fillId="9" borderId="4" xfId="0" applyFont="1" applyFill="1" applyBorder="1" applyAlignment="1"/>
    <xf numFmtId="0" fontId="30" fillId="9" borderId="49" xfId="0" applyFont="1" applyFill="1" applyBorder="1" applyAlignment="1"/>
    <xf numFmtId="0" fontId="30" fillId="9" borderId="37" xfId="0" applyFont="1" applyFill="1" applyBorder="1" applyAlignment="1">
      <alignment horizontal="left" indent="4"/>
    </xf>
    <xf numFmtId="0" fontId="30" fillId="9" borderId="52" xfId="0" applyFont="1" applyFill="1" applyBorder="1" applyAlignment="1">
      <alignment horizontal="center"/>
    </xf>
    <xf numFmtId="0" fontId="30" fillId="9" borderId="0" xfId="0" applyFont="1" applyFill="1" applyBorder="1" applyAlignment="1">
      <alignment horizontal="center"/>
    </xf>
    <xf numFmtId="0" fontId="30" fillId="9" borderId="56" xfId="0" applyFont="1" applyFill="1" applyBorder="1" applyAlignment="1">
      <alignment horizontal="center"/>
    </xf>
    <xf numFmtId="0" fontId="55" fillId="0" borderId="29" xfId="0" applyFont="1" applyBorder="1" applyAlignment="1">
      <alignment horizontal="right"/>
    </xf>
    <xf numFmtId="0" fontId="61" fillId="0" borderId="0" xfId="0" applyFont="1" applyBorder="1" applyAlignment="1">
      <alignment horizontal="center"/>
    </xf>
    <xf numFmtId="4" fontId="30" fillId="9" borderId="23" xfId="0" applyNumberFormat="1" applyFont="1" applyFill="1" applyBorder="1" applyAlignment="1">
      <alignment horizontal="center"/>
    </xf>
    <xf numFmtId="4" fontId="30" fillId="9" borderId="24" xfId="0" applyNumberFormat="1" applyFont="1" applyFill="1" applyBorder="1" applyAlignment="1">
      <alignment horizontal="center"/>
    </xf>
    <xf numFmtId="4" fontId="30" fillId="9" borderId="22" xfId="0" applyNumberFormat="1" applyFont="1" applyFill="1" applyBorder="1" applyAlignment="1">
      <alignment horizontal="center"/>
    </xf>
    <xf numFmtId="4" fontId="30" fillId="9" borderId="25" xfId="0" applyNumberFormat="1" applyFont="1" applyFill="1" applyBorder="1" applyAlignment="1">
      <alignment horizontal="center"/>
    </xf>
    <xf numFmtId="0" fontId="30" fillId="9" borderId="29" xfId="0" applyFont="1" applyFill="1" applyBorder="1" applyAlignment="1">
      <alignment horizontal="left" indent="4"/>
    </xf>
    <xf numFmtId="0" fontId="55" fillId="0" borderId="0" xfId="0" applyFont="1" applyBorder="1" applyAlignment="1">
      <alignment horizontal="center"/>
    </xf>
    <xf numFmtId="0" fontId="55" fillId="9" borderId="37" xfId="0" applyFont="1" applyFill="1" applyBorder="1" applyAlignment="1">
      <alignment horizontal="right" vertical="top"/>
    </xf>
    <xf numFmtId="0" fontId="55" fillId="9" borderId="0" xfId="0" applyFont="1" applyFill="1" applyBorder="1" applyAlignment="1">
      <alignment horizontal="center" vertical="top"/>
    </xf>
    <xf numFmtId="0" fontId="55" fillId="9" borderId="29" xfId="0" applyFont="1" applyFill="1" applyBorder="1" applyAlignment="1">
      <alignment horizontal="right"/>
    </xf>
    <xf numFmtId="0" fontId="61" fillId="9" borderId="0" xfId="0" applyFont="1" applyFill="1" applyBorder="1" applyAlignment="1">
      <alignment horizontal="center"/>
    </xf>
    <xf numFmtId="49" fontId="30" fillId="9" borderId="39" xfId="0" applyNumberFormat="1" applyFont="1" applyFill="1" applyBorder="1" applyAlignment="1">
      <alignment horizontal="center"/>
    </xf>
    <xf numFmtId="49" fontId="30" fillId="9" borderId="27" xfId="0" applyNumberFormat="1" applyFont="1" applyFill="1" applyBorder="1" applyAlignment="1">
      <alignment horizontal="center"/>
    </xf>
    <xf numFmtId="49" fontId="30" fillId="9" borderId="40" xfId="0" applyNumberFormat="1" applyFont="1" applyFill="1" applyBorder="1" applyAlignment="1">
      <alignment horizontal="center"/>
    </xf>
    <xf numFmtId="49" fontId="30" fillId="9" borderId="58" xfId="0" applyNumberFormat="1" applyFont="1" applyFill="1" applyBorder="1" applyAlignment="1">
      <alignment horizontal="center" vertical="center"/>
    </xf>
    <xf numFmtId="49" fontId="30" fillId="9" borderId="32" xfId="0" applyNumberFormat="1" applyFont="1" applyFill="1" applyBorder="1" applyAlignment="1">
      <alignment horizontal="center" vertical="center"/>
    </xf>
    <xf numFmtId="49" fontId="30" fillId="9" borderId="51" xfId="0" applyNumberFormat="1" applyFont="1" applyFill="1" applyBorder="1" applyAlignment="1">
      <alignment horizontal="center" vertical="center"/>
    </xf>
    <xf numFmtId="49" fontId="30" fillId="9" borderId="50" xfId="0" applyNumberFormat="1" applyFont="1" applyFill="1" applyBorder="1" applyAlignment="1">
      <alignment horizontal="center"/>
    </xf>
    <xf numFmtId="49" fontId="30" fillId="9" borderId="32" xfId="0" applyNumberFormat="1" applyFont="1" applyFill="1" applyBorder="1" applyAlignment="1">
      <alignment horizontal="center"/>
    </xf>
    <xf numFmtId="49" fontId="30" fillId="9" borderId="51" xfId="0" applyNumberFormat="1" applyFont="1" applyFill="1" applyBorder="1" applyAlignment="1">
      <alignment horizontal="center"/>
    </xf>
    <xf numFmtId="4" fontId="30" fillId="9" borderId="50" xfId="0" applyNumberFormat="1" applyFont="1" applyFill="1" applyBorder="1" applyAlignment="1">
      <alignment horizontal="center"/>
    </xf>
    <xf numFmtId="4" fontId="30" fillId="9" borderId="32" xfId="0" applyNumberFormat="1" applyFont="1" applyFill="1" applyBorder="1" applyAlignment="1">
      <alignment horizontal="center"/>
    </xf>
    <xf numFmtId="4" fontId="30" fillId="9" borderId="51" xfId="0" applyNumberFormat="1" applyFont="1" applyFill="1" applyBorder="1" applyAlignment="1">
      <alignment horizontal="center"/>
    </xf>
    <xf numFmtId="4" fontId="30" fillId="9" borderId="59" xfId="0" applyNumberFormat="1" applyFont="1" applyFill="1" applyBorder="1" applyAlignment="1">
      <alignment horizontal="center"/>
    </xf>
    <xf numFmtId="0" fontId="30" fillId="9" borderId="32" xfId="0" applyFont="1" applyFill="1" applyBorder="1" applyAlignment="1">
      <alignment horizontal="left" indent="4"/>
    </xf>
    <xf numFmtId="0" fontId="55" fillId="0" borderId="29" xfId="0" applyFont="1" applyBorder="1" applyAlignment="1">
      <alignment horizontal="center"/>
    </xf>
    <xf numFmtId="0" fontId="55" fillId="9" borderId="37" xfId="0" applyFont="1" applyFill="1" applyBorder="1" applyAlignment="1">
      <alignment horizontal="center" vertical="top"/>
    </xf>
    <xf numFmtId="0" fontId="55" fillId="9" borderId="0" xfId="0" applyFont="1" applyFill="1" applyBorder="1" applyAlignment="1">
      <alignment horizontal="right"/>
    </xf>
    <xf numFmtId="3" fontId="55" fillId="9" borderId="29" xfId="0" applyNumberFormat="1" applyFont="1" applyFill="1" applyBorder="1" applyAlignment="1">
      <alignment horizontal="left"/>
    </xf>
    <xf numFmtId="0" fontId="44" fillId="0" borderId="37" xfId="0" applyFont="1" applyBorder="1" applyAlignment="1">
      <alignment horizontal="center" vertical="top" wrapText="1"/>
    </xf>
    <xf numFmtId="49" fontId="31" fillId="9" borderId="21" xfId="0" applyNumberFormat="1" applyFont="1" applyFill="1" applyBorder="1" applyAlignment="1">
      <alignment horizontal="center"/>
    </xf>
    <xf numFmtId="49" fontId="31" fillId="9" borderId="24" xfId="0" applyNumberFormat="1" applyFont="1" applyFill="1" applyBorder="1" applyAlignment="1">
      <alignment horizontal="center"/>
    </xf>
    <xf numFmtId="49" fontId="31" fillId="9" borderId="22" xfId="0" applyNumberFormat="1" applyFont="1" applyFill="1" applyBorder="1" applyAlignment="1">
      <alignment horizontal="center"/>
    </xf>
    <xf numFmtId="0" fontId="31" fillId="9" borderId="29" xfId="0" applyFont="1" applyFill="1" applyBorder="1" applyAlignment="1">
      <alignment horizontal="left" indent="3"/>
    </xf>
    <xf numFmtId="49" fontId="31" fillId="9" borderId="23" xfId="0" applyNumberFormat="1" applyFont="1" applyFill="1" applyBorder="1" applyAlignment="1">
      <alignment horizontal="center"/>
    </xf>
    <xf numFmtId="49" fontId="31" fillId="9" borderId="49" xfId="0" applyNumberFormat="1" applyFont="1" applyFill="1" applyBorder="1" applyAlignment="1">
      <alignment horizontal="center"/>
    </xf>
    <xf numFmtId="49" fontId="31" fillId="9" borderId="37" xfId="0" applyNumberFormat="1" applyFont="1" applyFill="1" applyBorder="1" applyAlignment="1">
      <alignment horizontal="center"/>
    </xf>
    <xf numFmtId="49" fontId="31" fillId="9" borderId="38" xfId="0" applyNumberFormat="1" applyFont="1" applyFill="1" applyBorder="1" applyAlignment="1">
      <alignment horizontal="center"/>
    </xf>
    <xf numFmtId="49" fontId="44" fillId="9" borderId="24" xfId="0" applyNumberFormat="1" applyFont="1" applyFill="1" applyBorder="1" applyAlignment="1">
      <alignment horizontal="center"/>
    </xf>
    <xf numFmtId="49" fontId="44" fillId="9" borderId="22" xfId="0" applyNumberFormat="1" applyFont="1" applyFill="1" applyBorder="1" applyAlignment="1">
      <alignment horizontal="center"/>
    </xf>
    <xf numFmtId="4" fontId="32" fillId="9" borderId="23" xfId="0" applyNumberFormat="1" applyFont="1" applyFill="1" applyBorder="1" applyAlignment="1">
      <alignment horizontal="center"/>
    </xf>
    <xf numFmtId="4" fontId="32" fillId="9" borderId="24" xfId="0" applyNumberFormat="1" applyFont="1" applyFill="1" applyBorder="1" applyAlignment="1">
      <alignment horizontal="center"/>
    </xf>
    <xf numFmtId="4" fontId="32" fillId="9" borderId="22" xfId="0" applyNumberFormat="1" applyFont="1" applyFill="1" applyBorder="1" applyAlignment="1">
      <alignment horizont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9" fillId="0" borderId="0" xfId="0" applyFont="1" applyBorder="1" applyAlignment="1">
      <alignment horizont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7" fillId="5" borderId="21" xfId="0" applyFont="1" applyFill="1" applyBorder="1" applyAlignment="1">
      <alignment horizontal="center" wrapText="1"/>
    </xf>
    <xf numFmtId="0" fontId="17" fillId="5" borderId="24" xfId="0" applyFont="1" applyFill="1" applyBorder="1" applyAlignment="1">
      <alignment horizontal="center" wrapText="1"/>
    </xf>
    <xf numFmtId="0" fontId="17" fillId="5" borderId="22" xfId="0" applyFont="1" applyFill="1" applyBorder="1" applyAlignment="1">
      <alignment horizontal="center" wrapText="1"/>
    </xf>
    <xf numFmtId="0" fontId="10" fillId="5" borderId="23"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7" fillId="5" borderId="2" xfId="0" applyFont="1" applyFill="1" applyBorder="1" applyAlignment="1">
      <alignment horizontal="center" wrapText="1"/>
    </xf>
    <xf numFmtId="0" fontId="17" fillId="5" borderId="3" xfId="0" applyFont="1" applyFill="1" applyBorder="1" applyAlignment="1">
      <alignment horizontal="center" wrapText="1"/>
    </xf>
    <xf numFmtId="0" fontId="17" fillId="7" borderId="21" xfId="0" applyFont="1" applyFill="1" applyBorder="1" applyAlignment="1">
      <alignment horizontal="center" wrapText="1"/>
    </xf>
    <xf numFmtId="0" fontId="17" fillId="7" borderId="24" xfId="0" applyFont="1" applyFill="1" applyBorder="1" applyAlignment="1">
      <alignment horizontal="center" wrapText="1"/>
    </xf>
    <xf numFmtId="0" fontId="17" fillId="7" borderId="22" xfId="0" applyFont="1" applyFill="1" applyBorder="1" applyAlignment="1">
      <alignment horizontal="center" wrapText="1"/>
    </xf>
    <xf numFmtId="0" fontId="20" fillId="7" borderId="23"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7" fillId="7" borderId="2" xfId="0" applyFont="1" applyFill="1" applyBorder="1" applyAlignment="1">
      <alignment horizontal="center" wrapText="1"/>
    </xf>
    <xf numFmtId="0" fontId="17" fillId="7" borderId="3" xfId="0" applyFont="1" applyFill="1" applyBorder="1" applyAlignment="1">
      <alignment horizont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24" fillId="0" borderId="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8" xfId="0" applyFont="1" applyBorder="1" applyAlignment="1">
      <alignment horizontal="center" vertical="center" wrapText="1"/>
    </xf>
    <xf numFmtId="0" fontId="73" fillId="0" borderId="34" xfId="0" applyFont="1" applyBorder="1" applyAlignment="1">
      <alignment horizontal="center" vertical="center"/>
    </xf>
    <xf numFmtId="0" fontId="73" fillId="0" borderId="35" xfId="0" applyFont="1" applyBorder="1" applyAlignment="1">
      <alignment horizontal="center" vertical="center"/>
    </xf>
    <xf numFmtId="0" fontId="73" fillId="0" borderId="20" xfId="0" applyFont="1" applyBorder="1" applyAlignment="1">
      <alignment horizontal="center" vertical="center"/>
    </xf>
    <xf numFmtId="0" fontId="13" fillId="4" borderId="21" xfId="0" applyFont="1" applyFill="1" applyBorder="1" applyAlignment="1">
      <alignment horizontal="left" wrapText="1"/>
    </xf>
    <xf numFmtId="0" fontId="13" fillId="4" borderId="24" xfId="0" applyFont="1" applyFill="1" applyBorder="1" applyAlignment="1">
      <alignment horizontal="left" wrapText="1"/>
    </xf>
    <xf numFmtId="0" fontId="13" fillId="4" borderId="22" xfId="0" applyFont="1" applyFill="1" applyBorder="1" applyAlignment="1">
      <alignment horizontal="left"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7" borderId="23" xfId="0" applyFont="1" applyFill="1" applyBorder="1" applyAlignment="1">
      <alignment horizontal="center" wrapText="1"/>
    </xf>
    <xf numFmtId="0" fontId="20" fillId="7" borderId="22" xfId="0" applyFont="1" applyFill="1" applyBorder="1" applyAlignment="1">
      <alignment horizontal="center" wrapText="1"/>
    </xf>
    <xf numFmtId="0" fontId="14"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1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49" fontId="10" fillId="0" borderId="4"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2" fillId="0" borderId="33" xfId="0" applyFont="1" applyBorder="1" applyAlignment="1">
      <alignment horizontal="center" vertical="center"/>
    </xf>
    <xf numFmtId="0" fontId="2" fillId="0" borderId="4" xfId="0" applyFont="1" applyBorder="1" applyAlignment="1">
      <alignment horizontal="center" vertical="center" wrapText="1"/>
    </xf>
    <xf numFmtId="0" fontId="82" fillId="0" borderId="1" xfId="0" applyFont="1" applyFill="1" applyBorder="1" applyAlignment="1">
      <alignment horizontal="center" vertical="center" wrapText="1"/>
    </xf>
    <xf numFmtId="0" fontId="82" fillId="0" borderId="3" xfId="0" applyFont="1" applyFill="1" applyBorder="1" applyAlignment="1">
      <alignment horizontal="center" vertical="center" wrapText="1"/>
    </xf>
    <xf numFmtId="0" fontId="8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27" fillId="8" borderId="5" xfId="0" applyFont="1" applyFill="1" applyBorder="1" applyAlignment="1">
      <alignment horizontal="center" vertical="center"/>
    </xf>
    <xf numFmtId="0" fontId="27" fillId="8" borderId="6" xfId="0" applyFont="1" applyFill="1" applyBorder="1" applyAlignment="1">
      <alignment horizontal="center" vertical="center"/>
    </xf>
    <xf numFmtId="49" fontId="88" fillId="0" borderId="69" xfId="0" applyNumberFormat="1" applyFont="1" applyBorder="1" applyAlignment="1">
      <alignment horizontal="center" wrapText="1"/>
    </xf>
    <xf numFmtId="49" fontId="88" fillId="0" borderId="68" xfId="0" applyNumberFormat="1" applyFont="1" applyBorder="1" applyAlignment="1">
      <alignment horizontal="center" wrapText="1"/>
    </xf>
    <xf numFmtId="49" fontId="88" fillId="0" borderId="52" xfId="0" applyNumberFormat="1" applyFont="1" applyBorder="1" applyAlignment="1">
      <alignment horizontal="center" wrapText="1"/>
    </xf>
    <xf numFmtId="49" fontId="88" fillId="0" borderId="47" xfId="0" applyNumberFormat="1" applyFont="1" applyBorder="1" applyAlignment="1">
      <alignment horizontal="center" wrapText="1"/>
    </xf>
    <xf numFmtId="49" fontId="88" fillId="0" borderId="55" xfId="0" applyNumberFormat="1" applyFont="1" applyBorder="1" applyAlignment="1">
      <alignment horizontal="center" wrapText="1"/>
    </xf>
    <xf numFmtId="49" fontId="88" fillId="0" borderId="30" xfId="0" applyNumberFormat="1" applyFont="1" applyBorder="1" applyAlignment="1">
      <alignment horizont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71" xfId="0" applyFont="1" applyBorder="1" applyAlignment="1">
      <alignment horizontal="center" vertical="center" wrapText="1"/>
    </xf>
    <xf numFmtId="0" fontId="73" fillId="0" borderId="58" xfId="0" applyFont="1" applyBorder="1" applyAlignment="1">
      <alignment horizontal="center" vertical="center"/>
    </xf>
    <xf numFmtId="0" fontId="73" fillId="0" borderId="32" xfId="0" applyFont="1" applyBorder="1" applyAlignment="1">
      <alignment horizontal="center" vertical="center"/>
    </xf>
    <xf numFmtId="0" fontId="73" fillId="0" borderId="51" xfId="0" applyFont="1" applyBorder="1" applyAlignment="1">
      <alignment horizontal="center" vertical="center"/>
    </xf>
    <xf numFmtId="0" fontId="10" fillId="7" borderId="3" xfId="0" applyFont="1" applyFill="1" applyBorder="1" applyAlignment="1">
      <alignment horizontal="center" vertical="center" wrapText="1"/>
    </xf>
    <xf numFmtId="0" fontId="20" fillId="7" borderId="3" xfId="0" applyFont="1" applyFill="1" applyBorder="1" applyAlignment="1">
      <alignment horizontal="center" wrapText="1"/>
    </xf>
    <xf numFmtId="0" fontId="10" fillId="5" borderId="3" xfId="0" applyFont="1" applyFill="1" applyBorder="1" applyAlignment="1">
      <alignment horizontal="center" vertical="center" wrapText="1"/>
    </xf>
    <xf numFmtId="49" fontId="10" fillId="0" borderId="3" xfId="0" applyNumberFormat="1" applyFont="1" applyBorder="1" applyAlignment="1">
      <alignment horizontal="center" vertical="center"/>
    </xf>
    <xf numFmtId="0" fontId="13" fillId="4" borderId="2" xfId="0" applyFont="1" applyFill="1" applyBorder="1" applyAlignment="1">
      <alignment horizontal="left" wrapText="1"/>
    </xf>
    <xf numFmtId="0" fontId="13" fillId="4" borderId="3" xfId="0" applyFont="1" applyFill="1" applyBorder="1" applyAlignment="1">
      <alignment horizontal="left" wrapText="1"/>
    </xf>
    <xf numFmtId="0" fontId="10" fillId="4" borderId="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16" fillId="13" borderId="23" xfId="0" applyNumberFormat="1" applyFont="1" applyFill="1" applyBorder="1" applyAlignment="1">
      <alignment horizontal="center"/>
    </xf>
    <xf numFmtId="4" fontId="16" fillId="13" borderId="22" xfId="0" applyNumberFormat="1" applyFont="1" applyFill="1" applyBorder="1" applyAlignment="1">
      <alignment horizontal="center"/>
    </xf>
    <xf numFmtId="0" fontId="2" fillId="0" borderId="10" xfId="0" applyFont="1" applyBorder="1" applyAlignment="1">
      <alignment horizontal="center" vertical="center"/>
    </xf>
    <xf numFmtId="0" fontId="3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5" xfId="0" applyFont="1" applyFill="1" applyBorder="1" applyAlignment="1">
      <alignment horizontal="center" vertical="center" wrapText="1"/>
    </xf>
    <xf numFmtId="49" fontId="87" fillId="0" borderId="74" xfId="0" applyNumberFormat="1" applyFont="1" applyFill="1" applyBorder="1" applyAlignment="1">
      <alignment horizontal="center" vertical="center" wrapText="1"/>
    </xf>
    <xf numFmtId="49" fontId="87" fillId="0" borderId="35" xfId="0" applyNumberFormat="1" applyFont="1" applyFill="1" applyBorder="1" applyAlignment="1">
      <alignment horizontal="center" vertical="center" wrapText="1"/>
    </xf>
    <xf numFmtId="49" fontId="87" fillId="0" borderId="20" xfId="0" applyNumberFormat="1"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3" xfId="0" applyFont="1" applyFill="1" applyBorder="1" applyAlignment="1">
      <alignment horizontal="center" vertical="center" wrapText="1"/>
    </xf>
    <xf numFmtId="49" fontId="14" fillId="0" borderId="69" xfId="0" applyNumberFormat="1" applyFont="1" applyBorder="1" applyAlignment="1">
      <alignment horizontal="center" vertical="center" wrapText="1"/>
    </xf>
    <xf numFmtId="49" fontId="14" fillId="0" borderId="57"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49" fontId="14" fillId="0" borderId="56" xfId="0" applyNumberFormat="1" applyFont="1" applyBorder="1" applyAlignment="1">
      <alignment horizontal="center" vertical="center" wrapText="1"/>
    </xf>
    <xf numFmtId="49" fontId="14" fillId="0" borderId="55" xfId="0" applyNumberFormat="1" applyFont="1" applyBorder="1" applyAlignment="1">
      <alignment horizontal="center" vertical="center" wrapText="1"/>
    </xf>
    <xf numFmtId="49" fontId="14" fillId="0" borderId="54" xfId="0" applyNumberFormat="1" applyFont="1" applyBorder="1" applyAlignment="1">
      <alignment horizontal="center" vertical="center" wrapText="1"/>
    </xf>
    <xf numFmtId="0" fontId="11" fillId="0" borderId="6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30" xfId="0" applyFont="1" applyFill="1" applyBorder="1" applyAlignment="1">
      <alignment horizontal="center" vertical="center" wrapText="1"/>
    </xf>
    <xf numFmtId="49" fontId="35" fillId="6" borderId="4" xfId="0" applyNumberFormat="1" applyFont="1" applyFill="1" applyBorder="1" applyAlignment="1">
      <alignment horizontal="center" vertical="center" wrapText="1"/>
    </xf>
    <xf numFmtId="49" fontId="35" fillId="6" borderId="75" xfId="0" applyNumberFormat="1" applyFont="1" applyFill="1" applyBorder="1" applyAlignment="1">
      <alignment horizontal="center" vertical="center" wrapText="1"/>
    </xf>
    <xf numFmtId="0" fontId="17" fillId="3" borderId="2" xfId="0" applyFont="1" applyFill="1" applyBorder="1" applyAlignment="1">
      <alignment horizontal="center" wrapText="1"/>
    </xf>
    <xf numFmtId="0" fontId="17" fillId="3" borderId="3" xfId="0" applyFont="1" applyFill="1" applyBorder="1" applyAlignment="1">
      <alignment horizontal="center" wrapText="1"/>
    </xf>
    <xf numFmtId="0" fontId="20" fillId="3" borderId="3" xfId="0" applyFont="1" applyFill="1" applyBorder="1" applyAlignment="1">
      <alignment horizontal="center" wrapText="1"/>
    </xf>
    <xf numFmtId="0" fontId="14" fillId="6" borderId="9" xfId="0" applyFont="1" applyFill="1" applyBorder="1" applyAlignment="1">
      <alignment horizontal="center" vertical="center"/>
    </xf>
    <xf numFmtId="0" fontId="14" fillId="6" borderId="2"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0" fillId="0" borderId="33" xfId="0" applyFont="1" applyBorder="1" applyAlignment="1">
      <alignment horizontal="center" vertical="center" wrapText="1"/>
    </xf>
    <xf numFmtId="0" fontId="40" fillId="0" borderId="5" xfId="0" applyFont="1" applyBorder="1" applyAlignment="1">
      <alignment horizontal="center" vertical="center" wrapText="1"/>
    </xf>
    <xf numFmtId="0" fontId="11" fillId="10" borderId="19" xfId="0" applyFont="1" applyFill="1" applyBorder="1" applyAlignment="1">
      <alignment horizontal="center" vertical="center"/>
    </xf>
    <xf numFmtId="0" fontId="11" fillId="10" borderId="15"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7" xfId="0" applyFont="1" applyFill="1" applyBorder="1" applyAlignment="1">
      <alignment horizontal="center" vertical="center"/>
    </xf>
    <xf numFmtId="0" fontId="17" fillId="3" borderId="41" xfId="0" applyFont="1" applyFill="1" applyBorder="1" applyAlignment="1">
      <alignment horizontal="center" wrapText="1"/>
    </xf>
    <xf numFmtId="0" fontId="17" fillId="3" borderId="30" xfId="0" applyFont="1" applyFill="1" applyBorder="1" applyAlignment="1">
      <alignment horizontal="center" wrapText="1"/>
    </xf>
    <xf numFmtId="0" fontId="10" fillId="3" borderId="5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2" fillId="6" borderId="69" xfId="0" applyFont="1" applyFill="1" applyBorder="1" applyAlignment="1">
      <alignment horizontal="center" vertical="center" wrapText="1"/>
    </xf>
    <xf numFmtId="0" fontId="2" fillId="6" borderId="68"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Border="1" applyAlignment="1">
      <alignment horizontal="center" vertical="center" wrapText="1"/>
    </xf>
    <xf numFmtId="0" fontId="17" fillId="3" borderId="5" xfId="0" applyFont="1" applyFill="1" applyBorder="1" applyAlignment="1">
      <alignment horizontal="center" wrapText="1"/>
    </xf>
    <xf numFmtId="0" fontId="17" fillId="3" borderId="6" xfId="0" applyFont="1" applyFill="1" applyBorder="1" applyAlignment="1">
      <alignment horizontal="center" wrapText="1"/>
    </xf>
    <xf numFmtId="0" fontId="10" fillId="3" borderId="6"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7" xfId="0" applyFont="1" applyFill="1" applyBorder="1" applyAlignment="1">
      <alignment horizontal="center" vertical="center" wrapText="1"/>
    </xf>
    <xf numFmtId="3" fontId="48" fillId="0" borderId="0" xfId="0" applyNumberFormat="1"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4" fontId="51" fillId="0" borderId="1" xfId="0" applyNumberFormat="1" applyFont="1" applyFill="1" applyBorder="1" applyAlignment="1">
      <alignment horizontal="center" vertical="center" wrapText="1"/>
    </xf>
    <xf numFmtId="4" fontId="51" fillId="0" borderId="3" xfId="0" applyNumberFormat="1" applyFont="1" applyFill="1" applyBorder="1" applyAlignment="1">
      <alignment horizontal="center" vertical="center" wrapText="1"/>
    </xf>
    <xf numFmtId="4" fontId="51" fillId="0" borderId="11" xfId="0" applyNumberFormat="1" applyFont="1" applyFill="1" applyBorder="1" applyAlignment="1">
      <alignment horizontal="center" vertical="center" wrapText="1"/>
    </xf>
    <xf numFmtId="4" fontId="51" fillId="0" borderId="8" xfId="0" applyNumberFormat="1" applyFont="1" applyFill="1" applyBorder="1" applyAlignment="1">
      <alignment horizontal="center" vertical="center" wrapText="1"/>
    </xf>
    <xf numFmtId="3" fontId="48" fillId="0" borderId="45" xfId="0" applyNumberFormat="1" applyFont="1" applyFill="1" applyBorder="1" applyAlignment="1">
      <alignment horizontal="center" vertical="center" wrapText="1"/>
    </xf>
    <xf numFmtId="3" fontId="48" fillId="0" borderId="18" xfId="0" applyNumberFormat="1" applyFont="1" applyFill="1" applyBorder="1" applyAlignment="1">
      <alignment horizontal="center" vertical="center" wrapText="1"/>
    </xf>
    <xf numFmtId="3" fontId="48" fillId="0" borderId="57" xfId="0" applyNumberFormat="1" applyFont="1" applyFill="1" applyBorder="1" applyAlignment="1">
      <alignment horizontal="center" vertical="center" wrapText="1"/>
    </xf>
    <xf numFmtId="3" fontId="48" fillId="0" borderId="46" xfId="0" applyNumberFormat="1" applyFont="1" applyFill="1" applyBorder="1" applyAlignment="1">
      <alignment horizontal="center" vertical="center" wrapText="1"/>
    </xf>
    <xf numFmtId="3" fontId="48" fillId="0" borderId="56" xfId="0" applyNumberFormat="1" applyFont="1" applyFill="1" applyBorder="1" applyAlignment="1">
      <alignment horizontal="center" vertical="center" wrapText="1"/>
    </xf>
    <xf numFmtId="3" fontId="46" fillId="0" borderId="0" xfId="0" applyNumberFormat="1" applyFont="1" applyFill="1" applyAlignment="1">
      <alignment horizontal="center"/>
    </xf>
    <xf numFmtId="3" fontId="46" fillId="0" borderId="0" xfId="0" applyNumberFormat="1" applyFont="1" applyFill="1" applyBorder="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1056;&#1072;&#1073;&#1086;&#1095;&#1080;&#1081;%20&#1089;&#1090;&#1086;&#1083;/&#1055;&#1060;&#1061;&#1044;%20&#1085;&#1072;%2029.12.2022/&#1055;&#1060;&#1061;&#1044;%20&#1085;&#1072;%202022%20&#1075;&#1086;&#1076;/&#1050;&#1080;&#1083;&#1100;&#1076;&#1080;&#1085;&#1089;&#1082;&#1072;&#1103;%20&#1054;&#1054;&#1064;/&#1055;&#1060;&#1061;&#1044;%20&#1085;&#1072;%2030.12.2021/&#1055;&#1060;&#1061;&#1044;%202021%20&#1085;&#1072;%2030.12.2021%20(&#1044;&#1054;&#1059;%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056;&#1072;&#1073;&#1086;&#1095;&#1080;&#1081;%20&#1089;&#1090;&#1086;&#1083;/&#1055;&#1060;&#1061;&#1044;%20&#1085;&#1072;%2029.12.2022/&#1055;&#1060;&#1061;&#1044;%20&#1085;&#1072;%202022%20&#1075;&#1086;&#1076;/&#1050;&#1080;&#1083;&#1100;&#1076;&#1080;&#1085;&#1089;&#1082;&#1072;&#1103;%20&#1054;&#1054;&#1064;/&#1055;&#1060;&#1061;&#1044;%20&#1085;&#1072;%2030.12.2021/&#1055;&#1060;&#1061;&#1044;%20&#1085;&#1072;%2030.12.2021/&#1055;&#1060;&#1061;&#1044;%202021%2030.12.21&#1075;%20(&#1052;&#1086;&#1083;&#1086;&#1095;.&#1057;&#1054;&#1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дел 1"/>
      <sheetName val="Раздел 2"/>
      <sheetName val="ОСТАТКИ МЗ"/>
      <sheetName val="ОСТАТКИ ВБ"/>
      <sheetName val="ВБ"/>
      <sheetName val="4 (2021)"/>
      <sheetName val="5 (2021)"/>
      <sheetName val="4 (2022)"/>
      <sheetName val="5 (2022)"/>
      <sheetName val="4 (2023)"/>
      <sheetName val="5 (2023)"/>
      <sheetName val="Лист2"/>
    </sheetNames>
    <sheetDataSet>
      <sheetData sheetId="0" refreshError="1"/>
      <sheetData sheetId="1" refreshError="1"/>
      <sheetData sheetId="2" refreshError="1"/>
      <sheetData sheetId="3" refreshError="1"/>
      <sheetData sheetId="4" refreshError="1"/>
      <sheetData sheetId="5" refreshError="1"/>
      <sheetData sheetId="6">
        <row r="27">
          <cell r="E27">
            <v>0</v>
          </cell>
        </row>
      </sheetData>
      <sheetData sheetId="7" refreshError="1"/>
      <sheetData sheetId="8">
        <row r="25">
          <cell r="E25">
            <v>0</v>
          </cell>
        </row>
      </sheetData>
      <sheetData sheetId="9" refreshError="1"/>
      <sheetData sheetId="10">
        <row r="25">
          <cell r="E25">
            <v>0</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дел 1"/>
      <sheetName val="Раздел 2"/>
      <sheetName val="ОСТАТОК ЦС"/>
      <sheetName val="ОСТАТКИ МЗ"/>
      <sheetName val="ОСТАТКИ ВБ"/>
      <sheetName val="Внебюдж"/>
      <sheetName val="4 (2021)"/>
      <sheetName val="5 (2021)"/>
      <sheetName val="4 (2022)"/>
      <sheetName val="5 (2022)"/>
      <sheetName val="4 (2023)"/>
      <sheetName val="5 (2023)"/>
      <sheetName val="РАСЧЕТ ВБ"/>
    </sheetNames>
    <sheetDataSet>
      <sheetData sheetId="0">
        <row r="125">
          <cell r="BL125">
            <v>28739198.620000005</v>
          </cell>
        </row>
        <row r="130">
          <cell r="BU130">
            <v>0</v>
          </cell>
          <cell r="CD130">
            <v>0</v>
          </cell>
        </row>
      </sheetData>
      <sheetData sheetId="1" refreshError="1"/>
      <sheetData sheetId="2" refreshError="1"/>
      <sheetData sheetId="3"/>
      <sheetData sheetId="4">
        <row r="68">
          <cell r="F68">
            <v>111475.54999999999</v>
          </cell>
        </row>
      </sheetData>
      <sheetData sheetId="5">
        <row r="68">
          <cell r="F68">
            <v>1947173.1</v>
          </cell>
        </row>
      </sheetData>
      <sheetData sheetId="6"/>
      <sheetData sheetId="7">
        <row r="14">
          <cell r="J14">
            <v>4243230.43</v>
          </cell>
        </row>
      </sheetData>
      <sheetData sheetId="8">
        <row r="72">
          <cell r="F72">
            <v>18718711</v>
          </cell>
        </row>
      </sheetData>
      <sheetData sheetId="9">
        <row r="35">
          <cell r="E35">
            <v>13600</v>
          </cell>
        </row>
      </sheetData>
      <sheetData sheetId="10">
        <row r="72">
          <cell r="F72">
            <v>18871311</v>
          </cell>
        </row>
      </sheetData>
      <sheetData sheetId="11">
        <row r="14">
          <cell r="F14">
            <v>0</v>
          </cell>
        </row>
      </sheetData>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DA185"/>
  <sheetViews>
    <sheetView tabSelected="1" zoomScale="74" zoomScaleNormal="74" workbookViewId="0">
      <selection activeCell="BE11" sqref="BE11"/>
    </sheetView>
  </sheetViews>
  <sheetFormatPr defaultColWidth="1.42578125" defaultRowHeight="12.75" x14ac:dyDescent="0.2"/>
  <cols>
    <col min="1" max="5" width="1.42578125" style="202"/>
    <col min="6" max="6" width="4.5703125" style="202" customWidth="1"/>
    <col min="7" max="7" width="3.140625" style="202" customWidth="1"/>
    <col min="8" max="9" width="1.42578125" style="202"/>
    <col min="10" max="10" width="5.7109375" style="202" customWidth="1"/>
    <col min="11" max="18" width="1.42578125" style="202"/>
    <col min="19" max="19" width="4.28515625" style="202" customWidth="1"/>
    <col min="20" max="36" width="1.42578125" style="202"/>
    <col min="37" max="37" width="1.7109375" style="202" customWidth="1"/>
    <col min="38" max="38" width="3.7109375" style="202" customWidth="1"/>
    <col min="39" max="39" width="4.42578125" style="202" customWidth="1"/>
    <col min="40" max="40" width="3.85546875" style="202" customWidth="1"/>
    <col min="41" max="43" width="1.42578125" style="202"/>
    <col min="44" max="44" width="2" style="202" customWidth="1"/>
    <col min="45" max="46" width="1.42578125" style="202"/>
    <col min="47" max="47" width="7.28515625" style="202" customWidth="1"/>
    <col min="48" max="50" width="1.42578125" style="202"/>
    <col min="51" max="51" width="4.7109375" style="202" customWidth="1"/>
    <col min="52" max="52" width="2.42578125" style="202" customWidth="1"/>
    <col min="53" max="55" width="1.42578125" style="202"/>
    <col min="56" max="56" width="2.140625" style="202" customWidth="1"/>
    <col min="57" max="57" width="1.42578125" style="202"/>
    <col min="58" max="59" width="2.42578125" style="202" customWidth="1"/>
    <col min="60" max="60" width="3.7109375" style="202" customWidth="1"/>
    <col min="61" max="61" width="2.28515625" style="202" customWidth="1"/>
    <col min="62" max="62" width="3.85546875" style="202" customWidth="1"/>
    <col min="63" max="63" width="1.5703125" style="202" customWidth="1"/>
    <col min="64" max="65" width="1.42578125" style="202"/>
    <col min="66" max="66" width="3.7109375" style="202" customWidth="1"/>
    <col min="67" max="68" width="1.42578125" style="202"/>
    <col min="69" max="69" width="3.42578125" style="202" customWidth="1"/>
    <col min="70" max="71" width="1.42578125" style="202"/>
    <col min="72" max="72" width="3.85546875" style="202" customWidth="1"/>
    <col min="73" max="75" width="1.42578125" style="202"/>
    <col min="76" max="76" width="3.42578125" style="202" customWidth="1"/>
    <col min="77" max="77" width="1.42578125" style="202"/>
    <col min="78" max="78" width="2.7109375" style="202" customWidth="1"/>
    <col min="79" max="79" width="1.42578125" style="202"/>
    <col min="80" max="80" width="4.28515625" style="202" customWidth="1"/>
    <col min="81" max="81" width="3.28515625" style="202" customWidth="1"/>
    <col min="82" max="85" width="1.42578125" style="202"/>
    <col min="86" max="86" width="2" style="202" customWidth="1"/>
    <col min="87" max="87" width="1.7109375" style="202" customWidth="1"/>
    <col min="88" max="88" width="7" style="202" customWidth="1"/>
    <col min="89" max="89" width="1.42578125" style="202"/>
    <col min="90" max="90" width="3" style="202" customWidth="1"/>
    <col min="91" max="100" width="1.42578125" style="202"/>
    <col min="101" max="101" width="10.7109375" style="202" bestFit="1" customWidth="1"/>
    <col min="102" max="102" width="1.42578125" style="202"/>
    <col min="103" max="103" width="10.7109375" style="202" bestFit="1" customWidth="1"/>
    <col min="104" max="105" width="1.42578125" style="202"/>
    <col min="106" max="324" width="1.42578125" style="82"/>
    <col min="325" max="325" width="1.42578125" style="82" customWidth="1"/>
    <col min="326" max="580" width="1.42578125" style="82"/>
    <col min="581" max="581" width="1.42578125" style="82" customWidth="1"/>
    <col min="582" max="836" width="1.42578125" style="82"/>
    <col min="837" max="837" width="1.42578125" style="82" customWidth="1"/>
    <col min="838" max="1092" width="1.42578125" style="82"/>
    <col min="1093" max="1093" width="1.42578125" style="82" customWidth="1"/>
    <col min="1094" max="1348" width="1.42578125" style="82"/>
    <col min="1349" max="1349" width="1.42578125" style="82" customWidth="1"/>
    <col min="1350" max="1604" width="1.42578125" style="82"/>
    <col min="1605" max="1605" width="1.42578125" style="82" customWidth="1"/>
    <col min="1606" max="1860" width="1.42578125" style="82"/>
    <col min="1861" max="1861" width="1.42578125" style="82" customWidth="1"/>
    <col min="1862" max="2116" width="1.42578125" style="82"/>
    <col min="2117" max="2117" width="1.42578125" style="82" customWidth="1"/>
    <col min="2118" max="2372" width="1.42578125" style="82"/>
    <col min="2373" max="2373" width="1.42578125" style="82" customWidth="1"/>
    <col min="2374" max="2628" width="1.42578125" style="82"/>
    <col min="2629" max="2629" width="1.42578125" style="82" customWidth="1"/>
    <col min="2630" max="2884" width="1.42578125" style="82"/>
    <col min="2885" max="2885" width="1.42578125" style="82" customWidth="1"/>
    <col min="2886" max="3140" width="1.42578125" style="82"/>
    <col min="3141" max="3141" width="1.42578125" style="82" customWidth="1"/>
    <col min="3142" max="3396" width="1.42578125" style="82"/>
    <col min="3397" max="3397" width="1.42578125" style="82" customWidth="1"/>
    <col min="3398" max="3652" width="1.42578125" style="82"/>
    <col min="3653" max="3653" width="1.42578125" style="82" customWidth="1"/>
    <col min="3654" max="3908" width="1.42578125" style="82"/>
    <col min="3909" max="3909" width="1.42578125" style="82" customWidth="1"/>
    <col min="3910" max="4164" width="1.42578125" style="82"/>
    <col min="4165" max="4165" width="1.42578125" style="82" customWidth="1"/>
    <col min="4166" max="4420" width="1.42578125" style="82"/>
    <col min="4421" max="4421" width="1.42578125" style="82" customWidth="1"/>
    <col min="4422" max="4676" width="1.42578125" style="82"/>
    <col min="4677" max="4677" width="1.42578125" style="82" customWidth="1"/>
    <col min="4678" max="4932" width="1.42578125" style="82"/>
    <col min="4933" max="4933" width="1.42578125" style="82" customWidth="1"/>
    <col min="4934" max="5188" width="1.42578125" style="82"/>
    <col min="5189" max="5189" width="1.42578125" style="82" customWidth="1"/>
    <col min="5190" max="5444" width="1.42578125" style="82"/>
    <col min="5445" max="5445" width="1.42578125" style="82" customWidth="1"/>
    <col min="5446" max="5700" width="1.42578125" style="82"/>
    <col min="5701" max="5701" width="1.42578125" style="82" customWidth="1"/>
    <col min="5702" max="5956" width="1.42578125" style="82"/>
    <col min="5957" max="5957" width="1.42578125" style="82" customWidth="1"/>
    <col min="5958" max="6212" width="1.42578125" style="82"/>
    <col min="6213" max="6213" width="1.42578125" style="82" customWidth="1"/>
    <col min="6214" max="6468" width="1.42578125" style="82"/>
    <col min="6469" max="6469" width="1.42578125" style="82" customWidth="1"/>
    <col min="6470" max="6724" width="1.42578125" style="82"/>
    <col min="6725" max="6725" width="1.42578125" style="82" customWidth="1"/>
    <col min="6726" max="6980" width="1.42578125" style="82"/>
    <col min="6981" max="6981" width="1.42578125" style="82" customWidth="1"/>
    <col min="6982" max="7236" width="1.42578125" style="82"/>
    <col min="7237" max="7237" width="1.42578125" style="82" customWidth="1"/>
    <col min="7238" max="7492" width="1.42578125" style="82"/>
    <col min="7493" max="7493" width="1.42578125" style="82" customWidth="1"/>
    <col min="7494" max="7748" width="1.42578125" style="82"/>
    <col min="7749" max="7749" width="1.42578125" style="82" customWidth="1"/>
    <col min="7750" max="8004" width="1.42578125" style="82"/>
    <col min="8005" max="8005" width="1.42578125" style="82" customWidth="1"/>
    <col min="8006" max="8260" width="1.42578125" style="82"/>
    <col min="8261" max="8261" width="1.42578125" style="82" customWidth="1"/>
    <col min="8262" max="8516" width="1.42578125" style="82"/>
    <col min="8517" max="8517" width="1.42578125" style="82" customWidth="1"/>
    <col min="8518" max="8772" width="1.42578125" style="82"/>
    <col min="8773" max="8773" width="1.42578125" style="82" customWidth="1"/>
    <col min="8774" max="9028" width="1.42578125" style="82"/>
    <col min="9029" max="9029" width="1.42578125" style="82" customWidth="1"/>
    <col min="9030" max="9284" width="1.42578125" style="82"/>
    <col min="9285" max="9285" width="1.42578125" style="82" customWidth="1"/>
    <col min="9286" max="9540" width="1.42578125" style="82"/>
    <col min="9541" max="9541" width="1.42578125" style="82" customWidth="1"/>
    <col min="9542" max="9796" width="1.42578125" style="82"/>
    <col min="9797" max="9797" width="1.42578125" style="82" customWidth="1"/>
    <col min="9798" max="10052" width="1.42578125" style="82"/>
    <col min="10053" max="10053" width="1.42578125" style="82" customWidth="1"/>
    <col min="10054" max="10308" width="1.42578125" style="82"/>
    <col min="10309" max="10309" width="1.42578125" style="82" customWidth="1"/>
    <col min="10310" max="10564" width="1.42578125" style="82"/>
    <col min="10565" max="10565" width="1.42578125" style="82" customWidth="1"/>
    <col min="10566" max="10820" width="1.42578125" style="82"/>
    <col min="10821" max="10821" width="1.42578125" style="82" customWidth="1"/>
    <col min="10822" max="11076" width="1.42578125" style="82"/>
    <col min="11077" max="11077" width="1.42578125" style="82" customWidth="1"/>
    <col min="11078" max="11332" width="1.42578125" style="82"/>
    <col min="11333" max="11333" width="1.42578125" style="82" customWidth="1"/>
    <col min="11334" max="11588" width="1.42578125" style="82"/>
    <col min="11589" max="11589" width="1.42578125" style="82" customWidth="1"/>
    <col min="11590" max="11844" width="1.42578125" style="82"/>
    <col min="11845" max="11845" width="1.42578125" style="82" customWidth="1"/>
    <col min="11846" max="12100" width="1.42578125" style="82"/>
    <col min="12101" max="12101" width="1.42578125" style="82" customWidth="1"/>
    <col min="12102" max="12356" width="1.42578125" style="82"/>
    <col min="12357" max="12357" width="1.42578125" style="82" customWidth="1"/>
    <col min="12358" max="12612" width="1.42578125" style="82"/>
    <col min="12613" max="12613" width="1.42578125" style="82" customWidth="1"/>
    <col min="12614" max="12868" width="1.42578125" style="82"/>
    <col min="12869" max="12869" width="1.42578125" style="82" customWidth="1"/>
    <col min="12870" max="13124" width="1.42578125" style="82"/>
    <col min="13125" max="13125" width="1.42578125" style="82" customWidth="1"/>
    <col min="13126" max="13380" width="1.42578125" style="82"/>
    <col min="13381" max="13381" width="1.42578125" style="82" customWidth="1"/>
    <col min="13382" max="13636" width="1.42578125" style="82"/>
    <col min="13637" max="13637" width="1.42578125" style="82" customWidth="1"/>
    <col min="13638" max="13892" width="1.42578125" style="82"/>
    <col min="13893" max="13893" width="1.42578125" style="82" customWidth="1"/>
    <col min="13894" max="14148" width="1.42578125" style="82"/>
    <col min="14149" max="14149" width="1.42578125" style="82" customWidth="1"/>
    <col min="14150" max="14404" width="1.42578125" style="82"/>
    <col min="14405" max="14405" width="1.42578125" style="82" customWidth="1"/>
    <col min="14406" max="14660" width="1.42578125" style="82"/>
    <col min="14661" max="14661" width="1.42578125" style="82" customWidth="1"/>
    <col min="14662" max="14916" width="1.42578125" style="82"/>
    <col min="14917" max="14917" width="1.42578125" style="82" customWidth="1"/>
    <col min="14918" max="15172" width="1.42578125" style="82"/>
    <col min="15173" max="15173" width="1.42578125" style="82" customWidth="1"/>
    <col min="15174" max="15428" width="1.42578125" style="82"/>
    <col min="15429" max="15429" width="1.42578125" style="82" customWidth="1"/>
    <col min="15430" max="15684" width="1.42578125" style="82"/>
    <col min="15685" max="15685" width="1.42578125" style="82" customWidth="1"/>
    <col min="15686" max="15940" width="1.42578125" style="82"/>
    <col min="15941" max="15941" width="1.42578125" style="82" customWidth="1"/>
    <col min="15942" max="16196" width="1.42578125" style="82"/>
    <col min="16197" max="16197" width="1.42578125" style="82" customWidth="1"/>
    <col min="16198" max="16384" width="1.42578125" style="82"/>
  </cols>
  <sheetData>
    <row r="2" spans="1:105" ht="18.75" x14ac:dyDescent="0.3">
      <c r="BQ2" s="349" t="s">
        <v>167</v>
      </c>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row>
    <row r="3" spans="1:105" ht="24.75" customHeight="1" x14ac:dyDescent="0.3">
      <c r="BQ3" s="350" t="s">
        <v>674</v>
      </c>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row>
    <row r="4" spans="1:105" s="83" customFormat="1" ht="17.25"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351" t="s">
        <v>574</v>
      </c>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203"/>
      <c r="CW4" s="203"/>
      <c r="CX4" s="203"/>
      <c r="CY4" s="203"/>
      <c r="CZ4" s="203"/>
      <c r="DA4" s="203"/>
    </row>
    <row r="5" spans="1:105" ht="15" customHeight="1" x14ac:dyDescent="0.25">
      <c r="BQ5" s="352"/>
      <c r="BR5" s="352"/>
      <c r="BS5" s="352"/>
      <c r="BT5" s="352"/>
      <c r="BU5" s="352"/>
      <c r="BV5" s="352"/>
      <c r="BW5" s="352"/>
      <c r="BX5" s="352"/>
      <c r="BY5" s="352"/>
      <c r="BZ5" s="352"/>
      <c r="CA5" s="352"/>
      <c r="CB5" s="204"/>
      <c r="CC5" s="353" t="s">
        <v>675</v>
      </c>
      <c r="CD5" s="353"/>
      <c r="CE5" s="353"/>
      <c r="CF5" s="353"/>
      <c r="CG5" s="353"/>
      <c r="CH5" s="353"/>
      <c r="CI5" s="353"/>
      <c r="CJ5" s="353"/>
      <c r="CK5" s="353"/>
      <c r="CL5" s="353"/>
      <c r="CM5" s="353"/>
      <c r="CN5" s="353"/>
      <c r="CO5" s="353"/>
      <c r="CP5" s="353"/>
      <c r="CQ5" s="353"/>
      <c r="CR5" s="353"/>
      <c r="CS5" s="353"/>
      <c r="CT5" s="353"/>
      <c r="CU5" s="353"/>
    </row>
    <row r="6" spans="1:105" s="83" customFormat="1" ht="15" x14ac:dyDescent="0.2">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354" t="s">
        <v>45</v>
      </c>
      <c r="BR6" s="354"/>
      <c r="BS6" s="354"/>
      <c r="BT6" s="354"/>
      <c r="BU6" s="354"/>
      <c r="BV6" s="354"/>
      <c r="BW6" s="354"/>
      <c r="BX6" s="354"/>
      <c r="BY6" s="354"/>
      <c r="BZ6" s="354"/>
      <c r="CA6" s="354"/>
      <c r="CB6" s="205"/>
      <c r="CC6" s="354" t="s">
        <v>37</v>
      </c>
      <c r="CD6" s="354"/>
      <c r="CE6" s="354"/>
      <c r="CF6" s="354"/>
      <c r="CG6" s="354"/>
      <c r="CH6" s="354"/>
      <c r="CI6" s="354"/>
      <c r="CJ6" s="354"/>
      <c r="CK6" s="354"/>
      <c r="CL6" s="354"/>
      <c r="CM6" s="354"/>
      <c r="CN6" s="354"/>
      <c r="CO6" s="354"/>
      <c r="CP6" s="354"/>
      <c r="CQ6" s="354"/>
      <c r="CR6" s="354"/>
      <c r="CS6" s="354"/>
      <c r="CT6" s="354"/>
      <c r="CU6" s="354"/>
      <c r="CV6" s="203"/>
      <c r="CW6" s="203"/>
      <c r="CX6" s="203"/>
      <c r="CY6" s="203"/>
      <c r="CZ6" s="203"/>
      <c r="DA6" s="203"/>
    </row>
    <row r="7" spans="1:105" ht="15" customHeight="1" x14ac:dyDescent="0.3">
      <c r="BQ7" s="206" t="s">
        <v>168</v>
      </c>
      <c r="BR7" s="355" t="s">
        <v>726</v>
      </c>
      <c r="BS7" s="355"/>
      <c r="BT7" s="355"/>
      <c r="BU7" s="207" t="s">
        <v>169</v>
      </c>
      <c r="BV7" s="207"/>
      <c r="BW7" s="356" t="s">
        <v>727</v>
      </c>
      <c r="BX7" s="356"/>
      <c r="BY7" s="356"/>
      <c r="BZ7" s="356"/>
      <c r="CA7" s="356"/>
      <c r="CB7" s="356"/>
      <c r="CC7" s="356"/>
      <c r="CD7" s="356"/>
      <c r="CE7" s="356"/>
      <c r="CF7" s="356"/>
      <c r="CG7" s="356"/>
      <c r="CH7" s="357">
        <v>20</v>
      </c>
      <c r="CI7" s="357"/>
      <c r="CJ7" s="358" t="s">
        <v>621</v>
      </c>
      <c r="CK7" s="358"/>
      <c r="CL7" s="358"/>
      <c r="CM7" s="207" t="s">
        <v>170</v>
      </c>
      <c r="CN7" s="207"/>
      <c r="CO7" s="207"/>
      <c r="CP7" s="207"/>
      <c r="CQ7" s="207"/>
      <c r="CR7" s="207"/>
      <c r="CS7" s="207"/>
      <c r="CT7" s="207"/>
      <c r="CU7" s="207"/>
    </row>
    <row r="9" spans="1:105" s="84" customFormat="1" ht="18" customHeight="1" thickBot="1" x14ac:dyDescent="0.35">
      <c r="A9" s="208"/>
      <c r="B9" s="208"/>
      <c r="C9" s="208"/>
      <c r="D9" s="208"/>
      <c r="E9" s="209"/>
      <c r="F9" s="209"/>
      <c r="G9" s="209"/>
      <c r="H9" s="209"/>
      <c r="I9" s="209"/>
      <c r="J9" s="209"/>
      <c r="K9" s="209"/>
      <c r="L9" s="209"/>
      <c r="M9" s="209"/>
      <c r="N9" s="209"/>
      <c r="O9" s="209"/>
      <c r="P9" s="209"/>
      <c r="Q9" s="209"/>
      <c r="R9" s="209"/>
      <c r="S9" s="209"/>
      <c r="T9" s="209"/>
      <c r="U9" s="209"/>
      <c r="V9" s="209"/>
      <c r="W9" s="209"/>
      <c r="X9" s="210"/>
      <c r="Y9" s="210"/>
      <c r="Z9" s="210"/>
      <c r="AA9" s="210"/>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0"/>
      <c r="BD9" s="210"/>
      <c r="BE9" s="211"/>
      <c r="BF9" s="211"/>
      <c r="BG9" s="211"/>
      <c r="BH9" s="211"/>
      <c r="BI9" s="211"/>
      <c r="BJ9" s="211"/>
      <c r="BK9" s="211"/>
      <c r="BL9" s="211"/>
      <c r="BM9" s="211"/>
      <c r="BN9" s="212" t="s">
        <v>171</v>
      </c>
      <c r="BO9" s="359" t="s">
        <v>651</v>
      </c>
      <c r="BP9" s="359"/>
      <c r="BQ9" s="359"/>
      <c r="BR9" s="210" t="s">
        <v>172</v>
      </c>
      <c r="BS9" s="210"/>
      <c r="BT9" s="211"/>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9"/>
      <c r="CW9" s="209"/>
      <c r="CX9" s="209"/>
      <c r="CY9" s="209"/>
      <c r="CZ9" s="209"/>
      <c r="DA9" s="209"/>
    </row>
    <row r="10" spans="1:105" s="84" customFormat="1" ht="24" x14ac:dyDescent="0.3">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4"/>
      <c r="Y10" s="214"/>
      <c r="Z10" s="214"/>
      <c r="AA10" s="214"/>
      <c r="AB10" s="214"/>
      <c r="AC10" s="210"/>
      <c r="AD10" s="210"/>
      <c r="AE10" s="210"/>
      <c r="AF10" s="210"/>
      <c r="AG10" s="210"/>
      <c r="AH10" s="210"/>
      <c r="AI10" s="212" t="s">
        <v>173</v>
      </c>
      <c r="AJ10" s="359" t="s">
        <v>651</v>
      </c>
      <c r="AK10" s="359"/>
      <c r="AL10" s="359"/>
      <c r="AM10" s="210"/>
      <c r="AN10" s="210"/>
      <c r="AO10" s="210"/>
      <c r="AP10" s="210"/>
      <c r="AQ10" s="210"/>
      <c r="AR10" s="210"/>
      <c r="AS10" s="210"/>
      <c r="AT10" s="210"/>
      <c r="AU10" s="210"/>
      <c r="AV10" s="210"/>
      <c r="AW10" s="210"/>
      <c r="AX10" s="210"/>
      <c r="AY10" s="210"/>
      <c r="AZ10" s="210"/>
      <c r="BA10" s="210"/>
      <c r="BB10" s="210"/>
      <c r="BC10" s="210"/>
      <c r="BD10" s="215" t="s">
        <v>174</v>
      </c>
      <c r="BE10" s="359" t="s">
        <v>729</v>
      </c>
      <c r="BF10" s="359"/>
      <c r="BG10" s="359"/>
      <c r="BH10" s="210" t="s">
        <v>175</v>
      </c>
      <c r="BI10" s="210"/>
      <c r="BJ10" s="210"/>
      <c r="BK10" s="359" t="s">
        <v>696</v>
      </c>
      <c r="BL10" s="359"/>
      <c r="BM10" s="359"/>
      <c r="BN10" s="210" t="s">
        <v>464</v>
      </c>
      <c r="BO10" s="210"/>
      <c r="BP10" s="210"/>
      <c r="BQ10" s="210"/>
      <c r="BR10" s="210"/>
      <c r="BS10" s="210"/>
      <c r="BT10" s="214"/>
      <c r="BU10" s="213"/>
      <c r="BV10" s="213"/>
      <c r="BW10" s="213"/>
      <c r="BX10" s="213"/>
      <c r="BY10" s="213"/>
      <c r="BZ10" s="213"/>
      <c r="CA10" s="213"/>
      <c r="CB10" s="213"/>
      <c r="CC10" s="213"/>
      <c r="CD10" s="213"/>
      <c r="CE10" s="213"/>
      <c r="CF10" s="213"/>
      <c r="CG10" s="213"/>
      <c r="CH10" s="360" t="s">
        <v>176</v>
      </c>
      <c r="CI10" s="361"/>
      <c r="CJ10" s="361"/>
      <c r="CK10" s="361"/>
      <c r="CL10" s="361"/>
      <c r="CM10" s="361"/>
      <c r="CN10" s="361"/>
      <c r="CO10" s="361"/>
      <c r="CP10" s="361"/>
      <c r="CQ10" s="361"/>
      <c r="CR10" s="361"/>
      <c r="CS10" s="361"/>
      <c r="CT10" s="361"/>
      <c r="CU10" s="362"/>
      <c r="CV10" s="209"/>
      <c r="CW10" s="209"/>
      <c r="CX10" s="209"/>
      <c r="CY10" s="209"/>
      <c r="CZ10" s="209"/>
      <c r="DA10" s="209"/>
    </row>
    <row r="11" spans="1:105" ht="9.9499999999999993" customHeight="1" x14ac:dyDescent="0.3">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CH11" s="363"/>
      <c r="CI11" s="364"/>
      <c r="CJ11" s="364"/>
      <c r="CK11" s="364"/>
      <c r="CL11" s="364"/>
      <c r="CM11" s="364"/>
      <c r="CN11" s="364"/>
      <c r="CO11" s="364"/>
      <c r="CP11" s="364"/>
      <c r="CQ11" s="364"/>
      <c r="CR11" s="364"/>
      <c r="CS11" s="364"/>
      <c r="CT11" s="364"/>
      <c r="CU11" s="365"/>
    </row>
    <row r="12" spans="1:105" ht="17.25" customHeight="1" x14ac:dyDescent="0.3">
      <c r="X12" s="216"/>
      <c r="Y12" s="216"/>
      <c r="Z12" s="216"/>
      <c r="AA12" s="216"/>
      <c r="AB12" s="216"/>
      <c r="AC12" s="216"/>
      <c r="AD12" s="216"/>
      <c r="AE12" s="216"/>
      <c r="AF12" s="216"/>
      <c r="AG12" s="216"/>
      <c r="AH12" s="207"/>
      <c r="AI12" s="207"/>
      <c r="AJ12" s="207"/>
      <c r="AK12" s="207"/>
      <c r="AL12" s="207"/>
      <c r="AM12" s="217" t="s">
        <v>177</v>
      </c>
      <c r="AN12" s="366" t="str">
        <f>BR7</f>
        <v>28</v>
      </c>
      <c r="AO12" s="366"/>
      <c r="AP12" s="366"/>
      <c r="AQ12" s="218" t="s">
        <v>169</v>
      </c>
      <c r="AR12" s="218"/>
      <c r="AS12" s="355" t="s">
        <v>727</v>
      </c>
      <c r="AT12" s="355"/>
      <c r="AU12" s="355"/>
      <c r="AV12" s="355"/>
      <c r="AW12" s="355"/>
      <c r="AX12" s="355"/>
      <c r="AY12" s="355"/>
      <c r="AZ12" s="355"/>
      <c r="BA12" s="355"/>
      <c r="BB12" s="355"/>
      <c r="BC12" s="355"/>
      <c r="BD12" s="357">
        <v>20</v>
      </c>
      <c r="BE12" s="357"/>
      <c r="BF12" s="367">
        <v>24</v>
      </c>
      <c r="BG12" s="367"/>
      <c r="BH12" s="367"/>
      <c r="BI12" s="371" t="s">
        <v>465</v>
      </c>
      <c r="BJ12" s="371"/>
      <c r="BK12" s="371"/>
      <c r="BL12" s="207"/>
      <c r="BM12" s="216"/>
      <c r="BN12" s="216"/>
      <c r="BO12" s="216"/>
      <c r="BP12" s="216"/>
      <c r="BQ12" s="216"/>
      <c r="BR12" s="216"/>
      <c r="BS12" s="216"/>
      <c r="BT12" s="216"/>
      <c r="CF12" s="219" t="s">
        <v>9</v>
      </c>
      <c r="CH12" s="368" t="s">
        <v>728</v>
      </c>
      <c r="CI12" s="369"/>
      <c r="CJ12" s="369"/>
      <c r="CK12" s="369"/>
      <c r="CL12" s="369"/>
      <c r="CM12" s="369"/>
      <c r="CN12" s="369"/>
      <c r="CO12" s="369"/>
      <c r="CP12" s="369"/>
      <c r="CQ12" s="369"/>
      <c r="CR12" s="369"/>
      <c r="CS12" s="369"/>
      <c r="CT12" s="369"/>
      <c r="CU12" s="370"/>
    </row>
    <row r="13" spans="1:105" ht="18" customHeight="1" x14ac:dyDescent="0.25">
      <c r="A13" s="202" t="s">
        <v>178</v>
      </c>
      <c r="CF13" s="219" t="s">
        <v>179</v>
      </c>
      <c r="CH13" s="368" t="s">
        <v>565</v>
      </c>
      <c r="CI13" s="369"/>
      <c r="CJ13" s="369"/>
      <c r="CK13" s="369"/>
      <c r="CL13" s="369"/>
      <c r="CM13" s="369"/>
      <c r="CN13" s="369"/>
      <c r="CO13" s="369"/>
      <c r="CP13" s="369"/>
      <c r="CQ13" s="369"/>
      <c r="CR13" s="369"/>
      <c r="CS13" s="369"/>
      <c r="CT13" s="369"/>
      <c r="CU13" s="370"/>
    </row>
    <row r="14" spans="1:105" ht="17.25" customHeight="1" x14ac:dyDescent="0.3">
      <c r="A14" s="202" t="s">
        <v>180</v>
      </c>
      <c r="U14" s="394" t="s">
        <v>463</v>
      </c>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CF14" s="219" t="s">
        <v>181</v>
      </c>
      <c r="CH14" s="368" t="s">
        <v>467</v>
      </c>
      <c r="CI14" s="369"/>
      <c r="CJ14" s="369"/>
      <c r="CK14" s="369"/>
      <c r="CL14" s="369"/>
      <c r="CM14" s="369"/>
      <c r="CN14" s="369"/>
      <c r="CO14" s="369"/>
      <c r="CP14" s="369"/>
      <c r="CQ14" s="369"/>
      <c r="CR14" s="369"/>
      <c r="CS14" s="369"/>
      <c r="CT14" s="369"/>
      <c r="CU14" s="370"/>
    </row>
    <row r="15" spans="1:105" ht="15" customHeight="1" x14ac:dyDescent="0.25">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CF15" s="219" t="s">
        <v>179</v>
      </c>
      <c r="CH15" s="395"/>
      <c r="CI15" s="396"/>
      <c r="CJ15" s="396"/>
      <c r="CK15" s="396"/>
      <c r="CL15" s="396"/>
      <c r="CM15" s="396"/>
      <c r="CN15" s="396"/>
      <c r="CO15" s="396"/>
      <c r="CP15" s="396"/>
      <c r="CQ15" s="396"/>
      <c r="CR15" s="396"/>
      <c r="CS15" s="396"/>
      <c r="CT15" s="396"/>
      <c r="CU15" s="397"/>
    </row>
    <row r="16" spans="1:105" ht="18.75" customHeight="1" x14ac:dyDescent="0.25">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CF16" s="219" t="s">
        <v>182</v>
      </c>
      <c r="CH16" s="368" t="s">
        <v>566</v>
      </c>
      <c r="CI16" s="369"/>
      <c r="CJ16" s="369"/>
      <c r="CK16" s="369"/>
      <c r="CL16" s="369"/>
      <c r="CM16" s="369"/>
      <c r="CN16" s="369"/>
      <c r="CO16" s="369"/>
      <c r="CP16" s="369"/>
      <c r="CQ16" s="369"/>
      <c r="CR16" s="369"/>
      <c r="CS16" s="369"/>
      <c r="CT16" s="369"/>
      <c r="CU16" s="370"/>
    </row>
    <row r="17" spans="1:105" ht="86.25" customHeight="1" x14ac:dyDescent="0.4">
      <c r="A17" s="403" t="s">
        <v>575</v>
      </c>
      <c r="B17" s="403"/>
      <c r="C17" s="403"/>
      <c r="D17" s="403"/>
      <c r="E17" s="403"/>
      <c r="F17" s="403"/>
      <c r="G17" s="403"/>
      <c r="H17" s="403"/>
      <c r="I17" s="402" t="s">
        <v>634</v>
      </c>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F17" s="219" t="s">
        <v>183</v>
      </c>
      <c r="CH17" s="368" t="s">
        <v>466</v>
      </c>
      <c r="CI17" s="369"/>
      <c r="CJ17" s="369"/>
      <c r="CK17" s="369"/>
      <c r="CL17" s="369"/>
      <c r="CM17" s="369"/>
      <c r="CN17" s="369"/>
      <c r="CO17" s="369"/>
      <c r="CP17" s="369"/>
      <c r="CQ17" s="369"/>
      <c r="CR17" s="369"/>
      <c r="CS17" s="369"/>
      <c r="CT17" s="369"/>
      <c r="CU17" s="370"/>
    </row>
    <row r="18" spans="1:105" ht="18" customHeight="1" thickBot="1" x14ac:dyDescent="0.3">
      <c r="A18" s="202" t="s">
        <v>184</v>
      </c>
      <c r="CF18" s="219" t="s">
        <v>185</v>
      </c>
      <c r="CH18" s="398" t="s">
        <v>186</v>
      </c>
      <c r="CI18" s="399"/>
      <c r="CJ18" s="399"/>
      <c r="CK18" s="399"/>
      <c r="CL18" s="399"/>
      <c r="CM18" s="399"/>
      <c r="CN18" s="399"/>
      <c r="CO18" s="399"/>
      <c r="CP18" s="399"/>
      <c r="CQ18" s="399"/>
      <c r="CR18" s="399"/>
      <c r="CS18" s="399"/>
      <c r="CT18" s="399"/>
      <c r="CU18" s="400"/>
    </row>
    <row r="21" spans="1:105" s="12" customFormat="1" ht="18.75" hidden="1" x14ac:dyDescent="0.3">
      <c r="A21" s="221" t="s">
        <v>567</v>
      </c>
      <c r="B21" s="222"/>
      <c r="C21" s="222"/>
      <c r="D21" s="222"/>
      <c r="E21" s="222"/>
      <c r="F21" s="222"/>
      <c r="G21" s="222"/>
      <c r="H21" s="222"/>
      <c r="I21" s="222"/>
      <c r="J21" s="222"/>
      <c r="K21" s="222"/>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row>
    <row r="22" spans="1:105" hidden="1" x14ac:dyDescent="0.2"/>
    <row r="23" spans="1:105" s="12" customFormat="1" ht="18.75" hidden="1" x14ac:dyDescent="0.3">
      <c r="A23" s="221" t="s">
        <v>568</v>
      </c>
      <c r="B23" s="222"/>
      <c r="C23" s="222"/>
      <c r="D23" s="222"/>
      <c r="E23" s="222"/>
      <c r="F23" s="222"/>
      <c r="G23" s="222"/>
      <c r="H23" s="222"/>
      <c r="I23" s="222"/>
      <c r="J23" s="222"/>
      <c r="K23" s="222"/>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row>
    <row r="24" spans="1:105" s="12" customFormat="1" ht="18.75" x14ac:dyDescent="0.3">
      <c r="A24" s="221"/>
      <c r="B24" s="222"/>
      <c r="C24" s="222"/>
      <c r="D24" s="222"/>
      <c r="E24" s="222"/>
      <c r="F24" s="222"/>
      <c r="G24" s="222"/>
      <c r="H24" s="222"/>
      <c r="I24" s="222"/>
      <c r="J24" s="222"/>
      <c r="K24" s="222"/>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row>
    <row r="25" spans="1:105" ht="22.5" x14ac:dyDescent="0.3">
      <c r="A25" s="401" t="s">
        <v>187</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c r="CT25" s="401"/>
      <c r="CU25" s="401"/>
    </row>
    <row r="26" spans="1:105" ht="13.5" thickBot="1" x14ac:dyDescent="0.25"/>
    <row r="27" spans="1:105" s="85" customFormat="1" ht="12" customHeight="1" x14ac:dyDescent="0.2">
      <c r="A27" s="372" t="s">
        <v>10</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4"/>
      <c r="AV27" s="385" t="s">
        <v>188</v>
      </c>
      <c r="AW27" s="385"/>
      <c r="AX27" s="385"/>
      <c r="AY27" s="386"/>
      <c r="AZ27" s="387" t="s">
        <v>189</v>
      </c>
      <c r="BA27" s="385"/>
      <c r="BB27" s="385"/>
      <c r="BC27" s="385"/>
      <c r="BD27" s="385"/>
      <c r="BE27" s="386"/>
      <c r="BF27" s="387" t="s">
        <v>190</v>
      </c>
      <c r="BG27" s="385"/>
      <c r="BH27" s="385"/>
      <c r="BI27" s="385"/>
      <c r="BJ27" s="385"/>
      <c r="BK27" s="386"/>
      <c r="BL27" s="388" t="s">
        <v>191</v>
      </c>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389"/>
      <c r="CP27" s="389"/>
      <c r="CQ27" s="389"/>
      <c r="CR27" s="389"/>
      <c r="CS27" s="389"/>
      <c r="CT27" s="389"/>
      <c r="CU27" s="390"/>
      <c r="CV27" s="224"/>
      <c r="CW27" s="224"/>
      <c r="CX27" s="224"/>
      <c r="CY27" s="224"/>
      <c r="CZ27" s="224"/>
      <c r="DA27" s="224"/>
    </row>
    <row r="28" spans="1:105" s="85" customFormat="1" ht="14.25" customHeight="1" x14ac:dyDescent="0.25">
      <c r="A28" s="375"/>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7"/>
      <c r="AV28" s="381" t="s">
        <v>192</v>
      </c>
      <c r="AW28" s="381"/>
      <c r="AX28" s="381"/>
      <c r="AY28" s="382"/>
      <c r="AZ28" s="383" t="s">
        <v>193</v>
      </c>
      <c r="BA28" s="381"/>
      <c r="BB28" s="381"/>
      <c r="BC28" s="381"/>
      <c r="BD28" s="381"/>
      <c r="BE28" s="382"/>
      <c r="BF28" s="383" t="s">
        <v>194</v>
      </c>
      <c r="BG28" s="381"/>
      <c r="BH28" s="381"/>
      <c r="BI28" s="381"/>
      <c r="BJ28" s="381"/>
      <c r="BK28" s="382"/>
      <c r="BL28" s="391" t="s">
        <v>635</v>
      </c>
      <c r="BM28" s="392"/>
      <c r="BN28" s="392"/>
      <c r="BO28" s="392"/>
      <c r="BP28" s="392"/>
      <c r="BQ28" s="392"/>
      <c r="BR28" s="392"/>
      <c r="BS28" s="392"/>
      <c r="BT28" s="393"/>
      <c r="BU28" s="391" t="s">
        <v>677</v>
      </c>
      <c r="BV28" s="392"/>
      <c r="BW28" s="392"/>
      <c r="BX28" s="392"/>
      <c r="BY28" s="392"/>
      <c r="BZ28" s="392"/>
      <c r="CA28" s="392"/>
      <c r="CB28" s="392"/>
      <c r="CC28" s="393"/>
      <c r="CD28" s="391" t="s">
        <v>695</v>
      </c>
      <c r="CE28" s="392"/>
      <c r="CF28" s="392"/>
      <c r="CG28" s="392"/>
      <c r="CH28" s="392"/>
      <c r="CI28" s="392"/>
      <c r="CJ28" s="392"/>
      <c r="CK28" s="392"/>
      <c r="CL28" s="393"/>
      <c r="CM28" s="383" t="s">
        <v>195</v>
      </c>
      <c r="CN28" s="381"/>
      <c r="CO28" s="381"/>
      <c r="CP28" s="381"/>
      <c r="CQ28" s="381"/>
      <c r="CR28" s="381"/>
      <c r="CS28" s="381"/>
      <c r="CT28" s="381"/>
      <c r="CU28" s="384"/>
      <c r="CV28" s="224"/>
      <c r="CW28" s="224"/>
      <c r="CX28" s="224"/>
      <c r="CY28" s="224"/>
      <c r="CZ28" s="224"/>
      <c r="DA28" s="224"/>
    </row>
    <row r="29" spans="1:105" s="85" customFormat="1" ht="12" customHeight="1" x14ac:dyDescent="0.2">
      <c r="A29" s="375"/>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7"/>
      <c r="AV29" s="381"/>
      <c r="AW29" s="381"/>
      <c r="AX29" s="381"/>
      <c r="AY29" s="382"/>
      <c r="AZ29" s="383" t="s">
        <v>196</v>
      </c>
      <c r="BA29" s="381"/>
      <c r="BB29" s="381"/>
      <c r="BC29" s="381"/>
      <c r="BD29" s="381"/>
      <c r="BE29" s="382"/>
      <c r="BF29" s="383" t="s">
        <v>197</v>
      </c>
      <c r="BG29" s="381"/>
      <c r="BH29" s="381"/>
      <c r="BI29" s="381"/>
      <c r="BJ29" s="381"/>
      <c r="BK29" s="382"/>
      <c r="BL29" s="383" t="s">
        <v>198</v>
      </c>
      <c r="BM29" s="381"/>
      <c r="BN29" s="381"/>
      <c r="BO29" s="381"/>
      <c r="BP29" s="381"/>
      <c r="BQ29" s="381"/>
      <c r="BR29" s="381"/>
      <c r="BS29" s="381"/>
      <c r="BT29" s="382"/>
      <c r="BU29" s="383" t="s">
        <v>199</v>
      </c>
      <c r="BV29" s="381"/>
      <c r="BW29" s="381"/>
      <c r="BX29" s="381"/>
      <c r="BY29" s="381"/>
      <c r="BZ29" s="381"/>
      <c r="CA29" s="381"/>
      <c r="CB29" s="381"/>
      <c r="CC29" s="382"/>
      <c r="CD29" s="383" t="s">
        <v>200</v>
      </c>
      <c r="CE29" s="381"/>
      <c r="CF29" s="381"/>
      <c r="CG29" s="381"/>
      <c r="CH29" s="381"/>
      <c r="CI29" s="381"/>
      <c r="CJ29" s="381"/>
      <c r="CK29" s="381"/>
      <c r="CL29" s="382"/>
      <c r="CM29" s="383" t="s">
        <v>201</v>
      </c>
      <c r="CN29" s="381"/>
      <c r="CO29" s="381"/>
      <c r="CP29" s="381"/>
      <c r="CQ29" s="381"/>
      <c r="CR29" s="381"/>
      <c r="CS29" s="381"/>
      <c r="CT29" s="381"/>
      <c r="CU29" s="384"/>
      <c r="CV29" s="224"/>
      <c r="CW29" s="224"/>
      <c r="CX29" s="224"/>
      <c r="CY29" s="224"/>
      <c r="CZ29" s="224"/>
      <c r="DA29" s="224"/>
    </row>
    <row r="30" spans="1:105" s="85" customFormat="1" ht="12" customHeight="1" x14ac:dyDescent="0.2">
      <c r="A30" s="375"/>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7"/>
      <c r="AV30" s="381"/>
      <c r="AW30" s="381"/>
      <c r="AX30" s="381"/>
      <c r="AY30" s="382"/>
      <c r="AZ30" s="383" t="s">
        <v>202</v>
      </c>
      <c r="BA30" s="381"/>
      <c r="BB30" s="381"/>
      <c r="BC30" s="381"/>
      <c r="BD30" s="381"/>
      <c r="BE30" s="382"/>
      <c r="BF30" s="383"/>
      <c r="BG30" s="381"/>
      <c r="BH30" s="381"/>
      <c r="BI30" s="381"/>
      <c r="BJ30" s="381"/>
      <c r="BK30" s="382"/>
      <c r="BL30" s="383" t="s">
        <v>203</v>
      </c>
      <c r="BM30" s="381"/>
      <c r="BN30" s="381"/>
      <c r="BO30" s="381"/>
      <c r="BP30" s="381"/>
      <c r="BQ30" s="381"/>
      <c r="BR30" s="381"/>
      <c r="BS30" s="381"/>
      <c r="BT30" s="382"/>
      <c r="BU30" s="383" t="s">
        <v>204</v>
      </c>
      <c r="BV30" s="381"/>
      <c r="BW30" s="381"/>
      <c r="BX30" s="381"/>
      <c r="BY30" s="381"/>
      <c r="BZ30" s="381"/>
      <c r="CA30" s="381"/>
      <c r="CB30" s="381"/>
      <c r="CC30" s="382"/>
      <c r="CD30" s="383" t="s">
        <v>204</v>
      </c>
      <c r="CE30" s="381"/>
      <c r="CF30" s="381"/>
      <c r="CG30" s="381"/>
      <c r="CH30" s="381"/>
      <c r="CI30" s="381"/>
      <c r="CJ30" s="381"/>
      <c r="CK30" s="381"/>
      <c r="CL30" s="382"/>
      <c r="CM30" s="383" t="s">
        <v>205</v>
      </c>
      <c r="CN30" s="381"/>
      <c r="CO30" s="381"/>
      <c r="CP30" s="381"/>
      <c r="CQ30" s="381"/>
      <c r="CR30" s="381"/>
      <c r="CS30" s="381"/>
      <c r="CT30" s="381"/>
      <c r="CU30" s="384"/>
      <c r="CV30" s="224"/>
      <c r="CW30" s="224"/>
      <c r="CX30" s="224"/>
      <c r="CY30" s="224"/>
      <c r="CZ30" s="224"/>
      <c r="DA30" s="224"/>
    </row>
    <row r="31" spans="1:105" s="85" customFormat="1" ht="12" customHeight="1" x14ac:dyDescent="0.2">
      <c r="A31" s="375"/>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7"/>
      <c r="AV31" s="381"/>
      <c r="AW31" s="381"/>
      <c r="AX31" s="381"/>
      <c r="AY31" s="382"/>
      <c r="AZ31" s="383" t="s">
        <v>206</v>
      </c>
      <c r="BA31" s="381"/>
      <c r="BB31" s="381"/>
      <c r="BC31" s="381"/>
      <c r="BD31" s="381"/>
      <c r="BE31" s="382"/>
      <c r="BF31" s="383"/>
      <c r="BG31" s="381"/>
      <c r="BH31" s="381"/>
      <c r="BI31" s="381"/>
      <c r="BJ31" s="381"/>
      <c r="BK31" s="382"/>
      <c r="BL31" s="383" t="s">
        <v>207</v>
      </c>
      <c r="BM31" s="381"/>
      <c r="BN31" s="381"/>
      <c r="BO31" s="381"/>
      <c r="BP31" s="381"/>
      <c r="BQ31" s="381"/>
      <c r="BR31" s="381"/>
      <c r="BS31" s="381"/>
      <c r="BT31" s="382"/>
      <c r="BU31" s="383" t="s">
        <v>205</v>
      </c>
      <c r="BV31" s="381"/>
      <c r="BW31" s="381"/>
      <c r="BX31" s="381"/>
      <c r="BY31" s="381"/>
      <c r="BZ31" s="381"/>
      <c r="CA31" s="381"/>
      <c r="CB31" s="381"/>
      <c r="CC31" s="382"/>
      <c r="CD31" s="383" t="s">
        <v>205</v>
      </c>
      <c r="CE31" s="381"/>
      <c r="CF31" s="381"/>
      <c r="CG31" s="381"/>
      <c r="CH31" s="381"/>
      <c r="CI31" s="381"/>
      <c r="CJ31" s="381"/>
      <c r="CK31" s="381"/>
      <c r="CL31" s="382"/>
      <c r="CM31" s="383" t="s">
        <v>208</v>
      </c>
      <c r="CN31" s="381"/>
      <c r="CO31" s="381"/>
      <c r="CP31" s="381"/>
      <c r="CQ31" s="381"/>
      <c r="CR31" s="381"/>
      <c r="CS31" s="381"/>
      <c r="CT31" s="381"/>
      <c r="CU31" s="384"/>
      <c r="CV31" s="224"/>
      <c r="CW31" s="224"/>
      <c r="CX31" s="224"/>
      <c r="CY31" s="224"/>
      <c r="CZ31" s="224"/>
      <c r="DA31" s="224"/>
    </row>
    <row r="32" spans="1:105" s="85" customFormat="1" ht="12" customHeight="1" x14ac:dyDescent="0.2">
      <c r="A32" s="378"/>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80"/>
      <c r="AV32" s="381"/>
      <c r="AW32" s="381"/>
      <c r="AX32" s="381"/>
      <c r="AY32" s="382"/>
      <c r="AZ32" s="383" t="s">
        <v>209</v>
      </c>
      <c r="BA32" s="381"/>
      <c r="BB32" s="381"/>
      <c r="BC32" s="381"/>
      <c r="BD32" s="381"/>
      <c r="BE32" s="382"/>
      <c r="BF32" s="383"/>
      <c r="BG32" s="381"/>
      <c r="BH32" s="381"/>
      <c r="BI32" s="381"/>
      <c r="BJ32" s="381"/>
      <c r="BK32" s="382"/>
      <c r="BL32" s="383" t="s">
        <v>204</v>
      </c>
      <c r="BM32" s="381"/>
      <c r="BN32" s="381"/>
      <c r="BO32" s="381"/>
      <c r="BP32" s="381"/>
      <c r="BQ32" s="381"/>
      <c r="BR32" s="381"/>
      <c r="BS32" s="381"/>
      <c r="BT32" s="382"/>
      <c r="BU32" s="383" t="s">
        <v>208</v>
      </c>
      <c r="BV32" s="381"/>
      <c r="BW32" s="381"/>
      <c r="BX32" s="381"/>
      <c r="BY32" s="381"/>
      <c r="BZ32" s="381"/>
      <c r="CA32" s="381"/>
      <c r="CB32" s="381"/>
      <c r="CC32" s="382"/>
      <c r="CD32" s="383" t="s">
        <v>208</v>
      </c>
      <c r="CE32" s="381"/>
      <c r="CF32" s="381"/>
      <c r="CG32" s="381"/>
      <c r="CH32" s="381"/>
      <c r="CI32" s="381"/>
      <c r="CJ32" s="381"/>
      <c r="CK32" s="381"/>
      <c r="CL32" s="382"/>
      <c r="CM32" s="383"/>
      <c r="CN32" s="381"/>
      <c r="CO32" s="381"/>
      <c r="CP32" s="381"/>
      <c r="CQ32" s="381"/>
      <c r="CR32" s="381"/>
      <c r="CS32" s="381"/>
      <c r="CT32" s="381"/>
      <c r="CU32" s="384"/>
      <c r="CV32" s="224"/>
      <c r="CW32" s="224"/>
      <c r="CX32" s="224"/>
      <c r="CY32" s="224"/>
      <c r="CZ32" s="224"/>
      <c r="DA32" s="224"/>
    </row>
    <row r="33" spans="1:105" s="85" customFormat="1" ht="12" customHeight="1" thickBot="1" x14ac:dyDescent="0.25">
      <c r="A33" s="414">
        <v>1</v>
      </c>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6"/>
      <c r="AV33" s="404">
        <v>2</v>
      </c>
      <c r="AW33" s="405"/>
      <c r="AX33" s="405"/>
      <c r="AY33" s="405"/>
      <c r="AZ33" s="405">
        <v>3</v>
      </c>
      <c r="BA33" s="405"/>
      <c r="BB33" s="405"/>
      <c r="BC33" s="405"/>
      <c r="BD33" s="405"/>
      <c r="BE33" s="405"/>
      <c r="BF33" s="405">
        <v>4</v>
      </c>
      <c r="BG33" s="405"/>
      <c r="BH33" s="405"/>
      <c r="BI33" s="405"/>
      <c r="BJ33" s="405"/>
      <c r="BK33" s="405"/>
      <c r="BL33" s="405">
        <v>5</v>
      </c>
      <c r="BM33" s="405"/>
      <c r="BN33" s="405"/>
      <c r="BO33" s="405"/>
      <c r="BP33" s="405"/>
      <c r="BQ33" s="405"/>
      <c r="BR33" s="405"/>
      <c r="BS33" s="405"/>
      <c r="BT33" s="405"/>
      <c r="BU33" s="405">
        <v>6</v>
      </c>
      <c r="BV33" s="405"/>
      <c r="BW33" s="405"/>
      <c r="BX33" s="405"/>
      <c r="BY33" s="405"/>
      <c r="BZ33" s="405"/>
      <c r="CA33" s="405"/>
      <c r="CB33" s="405"/>
      <c r="CC33" s="405"/>
      <c r="CD33" s="405">
        <v>7</v>
      </c>
      <c r="CE33" s="405"/>
      <c r="CF33" s="405"/>
      <c r="CG33" s="405"/>
      <c r="CH33" s="405"/>
      <c r="CI33" s="405"/>
      <c r="CJ33" s="405"/>
      <c r="CK33" s="405"/>
      <c r="CL33" s="405"/>
      <c r="CM33" s="405">
        <v>8</v>
      </c>
      <c r="CN33" s="405"/>
      <c r="CO33" s="405"/>
      <c r="CP33" s="405"/>
      <c r="CQ33" s="405"/>
      <c r="CR33" s="405"/>
      <c r="CS33" s="405"/>
      <c r="CT33" s="405"/>
      <c r="CU33" s="406"/>
      <c r="CV33" s="224"/>
      <c r="CW33" s="224"/>
      <c r="CX33" s="224"/>
      <c r="CY33" s="224"/>
      <c r="CZ33" s="224"/>
      <c r="DA33" s="224"/>
    </row>
    <row r="34" spans="1:105" ht="22.5" customHeight="1" x14ac:dyDescent="0.25">
      <c r="A34" s="407" t="s">
        <v>492</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9"/>
      <c r="AV34" s="410" t="s">
        <v>210</v>
      </c>
      <c r="AW34" s="411"/>
      <c r="AX34" s="411"/>
      <c r="AY34" s="411"/>
      <c r="AZ34" s="411" t="s">
        <v>46</v>
      </c>
      <c r="BA34" s="411"/>
      <c r="BB34" s="411"/>
      <c r="BC34" s="411"/>
      <c r="BD34" s="411"/>
      <c r="BE34" s="411"/>
      <c r="BF34" s="411" t="s">
        <v>46</v>
      </c>
      <c r="BG34" s="411"/>
      <c r="BH34" s="411"/>
      <c r="BI34" s="411"/>
      <c r="BJ34" s="411"/>
      <c r="BK34" s="411"/>
      <c r="BL34" s="412">
        <f>BL35+BL36</f>
        <v>709402.50000000012</v>
      </c>
      <c r="BM34" s="412"/>
      <c r="BN34" s="412"/>
      <c r="BO34" s="412"/>
      <c r="BP34" s="412"/>
      <c r="BQ34" s="412"/>
      <c r="BR34" s="412"/>
      <c r="BS34" s="412"/>
      <c r="BT34" s="412"/>
      <c r="BU34" s="412">
        <f>BU35+BU36</f>
        <v>0</v>
      </c>
      <c r="BV34" s="412"/>
      <c r="BW34" s="412"/>
      <c r="BX34" s="412"/>
      <c r="BY34" s="412"/>
      <c r="BZ34" s="412"/>
      <c r="CA34" s="412"/>
      <c r="CB34" s="412"/>
      <c r="CC34" s="412"/>
      <c r="CD34" s="412">
        <f>CD35+CD36</f>
        <v>0</v>
      </c>
      <c r="CE34" s="412"/>
      <c r="CF34" s="412"/>
      <c r="CG34" s="412"/>
      <c r="CH34" s="412"/>
      <c r="CI34" s="412"/>
      <c r="CJ34" s="412"/>
      <c r="CK34" s="412"/>
      <c r="CL34" s="412"/>
      <c r="CM34" s="412">
        <v>0</v>
      </c>
      <c r="CN34" s="412"/>
      <c r="CO34" s="412"/>
      <c r="CP34" s="412"/>
      <c r="CQ34" s="412"/>
      <c r="CR34" s="412"/>
      <c r="CS34" s="412"/>
      <c r="CT34" s="412"/>
      <c r="CU34" s="413"/>
    </row>
    <row r="35" spans="1:105" ht="28.5" customHeight="1" x14ac:dyDescent="0.25">
      <c r="A35" s="647" t="s">
        <v>523</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9"/>
      <c r="AV35" s="410"/>
      <c r="AW35" s="411"/>
      <c r="AX35" s="411"/>
      <c r="AY35" s="411"/>
      <c r="AZ35" s="411" t="s">
        <v>46</v>
      </c>
      <c r="BA35" s="411"/>
      <c r="BB35" s="411"/>
      <c r="BC35" s="411"/>
      <c r="BD35" s="411"/>
      <c r="BE35" s="411"/>
      <c r="BF35" s="411" t="s">
        <v>46</v>
      </c>
      <c r="BG35" s="411"/>
      <c r="BH35" s="411"/>
      <c r="BI35" s="411"/>
      <c r="BJ35" s="411"/>
      <c r="BK35" s="411"/>
      <c r="BL35" s="644">
        <f>'ОСТАТКИ ВБ'!F12</f>
        <v>153.06</v>
      </c>
      <c r="BM35" s="645"/>
      <c r="BN35" s="645"/>
      <c r="BO35" s="645"/>
      <c r="BP35" s="645"/>
      <c r="BQ35" s="645"/>
      <c r="BR35" s="645"/>
      <c r="BS35" s="645"/>
      <c r="BT35" s="650"/>
      <c r="BU35" s="651">
        <v>0</v>
      </c>
      <c r="BV35" s="651"/>
      <c r="BW35" s="651"/>
      <c r="BX35" s="651"/>
      <c r="BY35" s="651"/>
      <c r="BZ35" s="651"/>
      <c r="CA35" s="651"/>
      <c r="CB35" s="651"/>
      <c r="CC35" s="651"/>
      <c r="CD35" s="651">
        <v>0</v>
      </c>
      <c r="CE35" s="651"/>
      <c r="CF35" s="651"/>
      <c r="CG35" s="651"/>
      <c r="CH35" s="651"/>
      <c r="CI35" s="651"/>
      <c r="CJ35" s="651"/>
      <c r="CK35" s="651"/>
      <c r="CL35" s="651"/>
      <c r="CM35" s="644"/>
      <c r="CN35" s="645"/>
      <c r="CO35" s="645"/>
      <c r="CP35" s="645"/>
      <c r="CQ35" s="645"/>
      <c r="CR35" s="645"/>
      <c r="CS35" s="645"/>
      <c r="CT35" s="645"/>
      <c r="CU35" s="646"/>
      <c r="CW35" s="202">
        <v>2</v>
      </c>
    </row>
    <row r="36" spans="1:105" ht="38.25" customHeight="1" x14ac:dyDescent="0.25">
      <c r="A36" s="647" t="s">
        <v>524</v>
      </c>
      <c r="B36" s="648"/>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9"/>
      <c r="AV36" s="410"/>
      <c r="AW36" s="411"/>
      <c r="AX36" s="411"/>
      <c r="AY36" s="411"/>
      <c r="AZ36" s="411" t="s">
        <v>46</v>
      </c>
      <c r="BA36" s="411"/>
      <c r="BB36" s="411"/>
      <c r="BC36" s="411"/>
      <c r="BD36" s="411"/>
      <c r="BE36" s="411"/>
      <c r="BF36" s="411" t="s">
        <v>46</v>
      </c>
      <c r="BG36" s="411"/>
      <c r="BH36" s="411"/>
      <c r="BI36" s="411"/>
      <c r="BJ36" s="411"/>
      <c r="BK36" s="411"/>
      <c r="BL36" s="644">
        <f>'ОСТАТКИ МЗ'!F13</f>
        <v>709249.44000000006</v>
      </c>
      <c r="BM36" s="645"/>
      <c r="BN36" s="645"/>
      <c r="BO36" s="645"/>
      <c r="BP36" s="645"/>
      <c r="BQ36" s="645"/>
      <c r="BR36" s="645"/>
      <c r="BS36" s="645"/>
      <c r="BT36" s="650"/>
      <c r="BU36" s="651">
        <v>0</v>
      </c>
      <c r="BV36" s="651"/>
      <c r="BW36" s="651"/>
      <c r="BX36" s="651"/>
      <c r="BY36" s="651"/>
      <c r="BZ36" s="651"/>
      <c r="CA36" s="651"/>
      <c r="CB36" s="651"/>
      <c r="CC36" s="651"/>
      <c r="CD36" s="651">
        <v>0</v>
      </c>
      <c r="CE36" s="651"/>
      <c r="CF36" s="651"/>
      <c r="CG36" s="651"/>
      <c r="CH36" s="651"/>
      <c r="CI36" s="651"/>
      <c r="CJ36" s="651"/>
      <c r="CK36" s="651"/>
      <c r="CL36" s="651"/>
      <c r="CM36" s="644"/>
      <c r="CN36" s="645"/>
      <c r="CO36" s="645"/>
      <c r="CP36" s="645"/>
      <c r="CQ36" s="645"/>
      <c r="CR36" s="645"/>
      <c r="CS36" s="645"/>
      <c r="CT36" s="645"/>
      <c r="CU36" s="646"/>
      <c r="CW36" s="202">
        <v>4</v>
      </c>
    </row>
    <row r="37" spans="1:105" ht="21" customHeight="1" x14ac:dyDescent="0.25">
      <c r="A37" s="426" t="s">
        <v>493</v>
      </c>
      <c r="B37" s="427"/>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8"/>
      <c r="AV37" s="654" t="s">
        <v>211</v>
      </c>
      <c r="AW37" s="369"/>
      <c r="AX37" s="369"/>
      <c r="AY37" s="369"/>
      <c r="AZ37" s="369" t="s">
        <v>46</v>
      </c>
      <c r="BA37" s="369"/>
      <c r="BB37" s="369"/>
      <c r="BC37" s="369"/>
      <c r="BD37" s="369"/>
      <c r="BE37" s="369"/>
      <c r="BF37" s="369" t="s">
        <v>46</v>
      </c>
      <c r="BG37" s="369"/>
      <c r="BH37" s="369"/>
      <c r="BI37" s="369"/>
      <c r="BJ37" s="369"/>
      <c r="BK37" s="369"/>
      <c r="BL37" s="415">
        <f>BL34+BL38-BL70</f>
        <v>0</v>
      </c>
      <c r="BM37" s="415"/>
      <c r="BN37" s="415"/>
      <c r="BO37" s="415"/>
      <c r="BP37" s="415"/>
      <c r="BQ37" s="415"/>
      <c r="BR37" s="415"/>
      <c r="BS37" s="415"/>
      <c r="BT37" s="415"/>
      <c r="BU37" s="415">
        <f t="shared" ref="BU37" si="0">BU34+BU38-BU70</f>
        <v>0</v>
      </c>
      <c r="BV37" s="415"/>
      <c r="BW37" s="415"/>
      <c r="BX37" s="415"/>
      <c r="BY37" s="415"/>
      <c r="BZ37" s="415"/>
      <c r="CA37" s="415"/>
      <c r="CB37" s="415"/>
      <c r="CC37" s="415"/>
      <c r="CD37" s="415">
        <f t="shared" ref="CD37" si="1">CD34+CD38-CD70</f>
        <v>0</v>
      </c>
      <c r="CE37" s="415"/>
      <c r="CF37" s="415"/>
      <c r="CG37" s="415"/>
      <c r="CH37" s="415"/>
      <c r="CI37" s="415"/>
      <c r="CJ37" s="415"/>
      <c r="CK37" s="415"/>
      <c r="CL37" s="415"/>
      <c r="CM37" s="416">
        <v>0</v>
      </c>
      <c r="CN37" s="416"/>
      <c r="CO37" s="416"/>
      <c r="CP37" s="416"/>
      <c r="CQ37" s="416"/>
      <c r="CR37" s="416"/>
      <c r="CS37" s="416"/>
      <c r="CT37" s="416"/>
      <c r="CU37" s="417"/>
    </row>
    <row r="38" spans="1:105" ht="25.5" customHeight="1" x14ac:dyDescent="0.3">
      <c r="A38" s="418" t="s">
        <v>212</v>
      </c>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20"/>
      <c r="AV38" s="421" t="s">
        <v>213</v>
      </c>
      <c r="AW38" s="422"/>
      <c r="AX38" s="422"/>
      <c r="AY38" s="422"/>
      <c r="AZ38" s="422"/>
      <c r="BA38" s="422"/>
      <c r="BB38" s="422"/>
      <c r="BC38" s="422"/>
      <c r="BD38" s="422"/>
      <c r="BE38" s="422"/>
      <c r="BF38" s="423" t="s">
        <v>347</v>
      </c>
      <c r="BG38" s="423"/>
      <c r="BH38" s="423"/>
      <c r="BI38" s="423"/>
      <c r="BJ38" s="423"/>
      <c r="BK38" s="423"/>
      <c r="BL38" s="424">
        <f>BL39+BL43+BL53+BL56</f>
        <v>54008788.799999997</v>
      </c>
      <c r="BM38" s="424"/>
      <c r="BN38" s="424"/>
      <c r="BO38" s="424"/>
      <c r="BP38" s="424"/>
      <c r="BQ38" s="424"/>
      <c r="BR38" s="424"/>
      <c r="BS38" s="424"/>
      <c r="BT38" s="424"/>
      <c r="BU38" s="424">
        <f t="shared" ref="BU38" si="2">BU39+BU43+BU53+BU56</f>
        <v>59111540.649999999</v>
      </c>
      <c r="BV38" s="424"/>
      <c r="BW38" s="424"/>
      <c r="BX38" s="424"/>
      <c r="BY38" s="424"/>
      <c r="BZ38" s="424"/>
      <c r="CA38" s="424"/>
      <c r="CB38" s="424"/>
      <c r="CC38" s="424"/>
      <c r="CD38" s="424">
        <f t="shared" ref="CD38" si="3">CD39+CD43+CD53+CD56</f>
        <v>62765258.310000002</v>
      </c>
      <c r="CE38" s="424"/>
      <c r="CF38" s="424"/>
      <c r="CG38" s="424"/>
      <c r="CH38" s="424"/>
      <c r="CI38" s="424"/>
      <c r="CJ38" s="424"/>
      <c r="CK38" s="424"/>
      <c r="CL38" s="424"/>
      <c r="CM38" s="424"/>
      <c r="CN38" s="424"/>
      <c r="CO38" s="424"/>
      <c r="CP38" s="424"/>
      <c r="CQ38" s="424"/>
      <c r="CR38" s="424"/>
      <c r="CS38" s="424"/>
      <c r="CT38" s="424"/>
      <c r="CU38" s="425"/>
    </row>
    <row r="39" spans="1:105" ht="15.75" x14ac:dyDescent="0.25">
      <c r="A39" s="448" t="s">
        <v>2</v>
      </c>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50"/>
      <c r="AV39" s="454" t="s">
        <v>214</v>
      </c>
      <c r="AW39" s="454"/>
      <c r="AX39" s="454"/>
      <c r="AY39" s="455"/>
      <c r="AZ39" s="456" t="s">
        <v>215</v>
      </c>
      <c r="BA39" s="454"/>
      <c r="BB39" s="454"/>
      <c r="BC39" s="454"/>
      <c r="BD39" s="454"/>
      <c r="BE39" s="455"/>
      <c r="BF39" s="456"/>
      <c r="BG39" s="454"/>
      <c r="BH39" s="454"/>
      <c r="BI39" s="454"/>
      <c r="BJ39" s="454"/>
      <c r="BK39" s="455"/>
      <c r="BL39" s="429">
        <f>BL42</f>
        <v>0</v>
      </c>
      <c r="BM39" s="430"/>
      <c r="BN39" s="430"/>
      <c r="BO39" s="430"/>
      <c r="BP39" s="430"/>
      <c r="BQ39" s="430"/>
      <c r="BR39" s="430"/>
      <c r="BS39" s="430"/>
      <c r="BT39" s="457"/>
      <c r="BU39" s="429">
        <f>BU42</f>
        <v>0</v>
      </c>
      <c r="BV39" s="430"/>
      <c r="BW39" s="430"/>
      <c r="BX39" s="430"/>
      <c r="BY39" s="430"/>
      <c r="BZ39" s="430"/>
      <c r="CA39" s="430"/>
      <c r="CB39" s="430"/>
      <c r="CC39" s="457"/>
      <c r="CD39" s="429">
        <f>CD42</f>
        <v>0</v>
      </c>
      <c r="CE39" s="430"/>
      <c r="CF39" s="430"/>
      <c r="CG39" s="430"/>
      <c r="CH39" s="430"/>
      <c r="CI39" s="430"/>
      <c r="CJ39" s="430"/>
      <c r="CK39" s="430"/>
      <c r="CL39" s="457"/>
      <c r="CM39" s="429"/>
      <c r="CN39" s="430"/>
      <c r="CO39" s="430"/>
      <c r="CP39" s="430"/>
      <c r="CQ39" s="430"/>
      <c r="CR39" s="430"/>
      <c r="CS39" s="430"/>
      <c r="CT39" s="430"/>
      <c r="CU39" s="431"/>
    </row>
    <row r="40" spans="1:105" ht="20.25" customHeight="1" x14ac:dyDescent="0.25">
      <c r="A40" s="435" t="s">
        <v>216</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7"/>
      <c r="AV40" s="526"/>
      <c r="AW40" s="526"/>
      <c r="AX40" s="526"/>
      <c r="AY40" s="527"/>
      <c r="AZ40" s="528"/>
      <c r="BA40" s="526"/>
      <c r="BB40" s="526"/>
      <c r="BC40" s="526"/>
      <c r="BD40" s="526"/>
      <c r="BE40" s="527"/>
      <c r="BF40" s="528"/>
      <c r="BG40" s="526"/>
      <c r="BH40" s="526"/>
      <c r="BI40" s="526"/>
      <c r="BJ40" s="526"/>
      <c r="BK40" s="527"/>
      <c r="BL40" s="432"/>
      <c r="BM40" s="433"/>
      <c r="BN40" s="433"/>
      <c r="BO40" s="433"/>
      <c r="BP40" s="433"/>
      <c r="BQ40" s="433"/>
      <c r="BR40" s="433"/>
      <c r="BS40" s="433"/>
      <c r="BT40" s="618"/>
      <c r="BU40" s="432"/>
      <c r="BV40" s="433"/>
      <c r="BW40" s="433"/>
      <c r="BX40" s="433"/>
      <c r="BY40" s="433"/>
      <c r="BZ40" s="433"/>
      <c r="CA40" s="433"/>
      <c r="CB40" s="433"/>
      <c r="CC40" s="618"/>
      <c r="CD40" s="432"/>
      <c r="CE40" s="433"/>
      <c r="CF40" s="433"/>
      <c r="CG40" s="433"/>
      <c r="CH40" s="433"/>
      <c r="CI40" s="433"/>
      <c r="CJ40" s="433"/>
      <c r="CK40" s="433"/>
      <c r="CL40" s="618"/>
      <c r="CM40" s="432"/>
      <c r="CN40" s="433"/>
      <c r="CO40" s="433"/>
      <c r="CP40" s="433"/>
      <c r="CQ40" s="433"/>
      <c r="CR40" s="433"/>
      <c r="CS40" s="433"/>
      <c r="CT40" s="433"/>
      <c r="CU40" s="434"/>
    </row>
    <row r="41" spans="1:105" ht="18.75" customHeight="1" x14ac:dyDescent="0.25">
      <c r="A41" s="438" t="s">
        <v>2</v>
      </c>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40"/>
      <c r="AV41" s="441"/>
      <c r="AW41" s="441"/>
      <c r="AX41" s="441"/>
      <c r="AY41" s="442"/>
      <c r="AZ41" s="443"/>
      <c r="BA41" s="441"/>
      <c r="BB41" s="441"/>
      <c r="BC41" s="441"/>
      <c r="BD41" s="441"/>
      <c r="BE41" s="442"/>
      <c r="BF41" s="443"/>
      <c r="BG41" s="441"/>
      <c r="BH41" s="441"/>
      <c r="BI41" s="441"/>
      <c r="BJ41" s="441"/>
      <c r="BK41" s="442"/>
      <c r="BL41" s="444"/>
      <c r="BM41" s="445"/>
      <c r="BN41" s="445"/>
      <c r="BO41" s="445"/>
      <c r="BP41" s="445"/>
      <c r="BQ41" s="445"/>
      <c r="BR41" s="445"/>
      <c r="BS41" s="445"/>
      <c r="BT41" s="446"/>
      <c r="BU41" s="444"/>
      <c r="BV41" s="445"/>
      <c r="BW41" s="445"/>
      <c r="BX41" s="445"/>
      <c r="BY41" s="445"/>
      <c r="BZ41" s="445"/>
      <c r="CA41" s="445"/>
      <c r="CB41" s="445"/>
      <c r="CC41" s="446"/>
      <c r="CD41" s="444"/>
      <c r="CE41" s="445"/>
      <c r="CF41" s="445"/>
      <c r="CG41" s="445"/>
      <c r="CH41" s="445"/>
      <c r="CI41" s="445"/>
      <c r="CJ41" s="445"/>
      <c r="CK41" s="445"/>
      <c r="CL41" s="446"/>
      <c r="CM41" s="444"/>
      <c r="CN41" s="445"/>
      <c r="CO41" s="445"/>
      <c r="CP41" s="445"/>
      <c r="CQ41" s="445"/>
      <c r="CR41" s="445"/>
      <c r="CS41" s="445"/>
      <c r="CT41" s="445"/>
      <c r="CU41" s="447"/>
    </row>
    <row r="42" spans="1:105" ht="17.25" customHeight="1" x14ac:dyDescent="0.25">
      <c r="A42" s="225" t="s">
        <v>525</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7"/>
      <c r="AV42" s="652" t="s">
        <v>217</v>
      </c>
      <c r="AW42" s="652"/>
      <c r="AX42" s="652"/>
      <c r="AY42" s="511"/>
      <c r="AZ42" s="653"/>
      <c r="BA42" s="652"/>
      <c r="BB42" s="652"/>
      <c r="BC42" s="652"/>
      <c r="BD42" s="652"/>
      <c r="BE42" s="511"/>
      <c r="BF42" s="653"/>
      <c r="BG42" s="652"/>
      <c r="BH42" s="652"/>
      <c r="BI42" s="652"/>
      <c r="BJ42" s="652"/>
      <c r="BK42" s="511"/>
      <c r="BL42" s="346">
        <v>0</v>
      </c>
      <c r="BM42" s="347"/>
      <c r="BN42" s="347"/>
      <c r="BO42" s="347"/>
      <c r="BP42" s="347"/>
      <c r="BQ42" s="347"/>
      <c r="BR42" s="347"/>
      <c r="BS42" s="347"/>
      <c r="BT42" s="348"/>
      <c r="BU42" s="346">
        <v>0</v>
      </c>
      <c r="BV42" s="347"/>
      <c r="BW42" s="347"/>
      <c r="BX42" s="347"/>
      <c r="BY42" s="347"/>
      <c r="BZ42" s="347"/>
      <c r="CA42" s="347"/>
      <c r="CB42" s="347"/>
      <c r="CC42" s="348"/>
      <c r="CD42" s="346">
        <v>0</v>
      </c>
      <c r="CE42" s="347"/>
      <c r="CF42" s="347"/>
      <c r="CG42" s="347"/>
      <c r="CH42" s="347"/>
      <c r="CI42" s="347"/>
      <c r="CJ42" s="347"/>
      <c r="CK42" s="347"/>
      <c r="CL42" s="348"/>
      <c r="CM42" s="228"/>
      <c r="CN42" s="229"/>
      <c r="CO42" s="229"/>
      <c r="CP42" s="229"/>
      <c r="CQ42" s="229"/>
      <c r="CR42" s="229"/>
      <c r="CS42" s="229"/>
      <c r="CT42" s="229"/>
      <c r="CU42" s="230"/>
    </row>
    <row r="43" spans="1:105" ht="23.25" customHeight="1" x14ac:dyDescent="0.25">
      <c r="A43" s="451" t="s">
        <v>218</v>
      </c>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3"/>
      <c r="AV43" s="454" t="s">
        <v>219</v>
      </c>
      <c r="AW43" s="454"/>
      <c r="AX43" s="454"/>
      <c r="AY43" s="455"/>
      <c r="AZ43" s="456" t="s">
        <v>220</v>
      </c>
      <c r="BA43" s="454"/>
      <c r="BB43" s="454"/>
      <c r="BC43" s="454"/>
      <c r="BD43" s="454"/>
      <c r="BE43" s="455"/>
      <c r="BF43" s="456" t="s">
        <v>260</v>
      </c>
      <c r="BG43" s="454"/>
      <c r="BH43" s="454"/>
      <c r="BI43" s="454"/>
      <c r="BJ43" s="454"/>
      <c r="BK43" s="455"/>
      <c r="BL43" s="429">
        <f>SUM(BL44:BT49)</f>
        <v>46875481</v>
      </c>
      <c r="BM43" s="430"/>
      <c r="BN43" s="430"/>
      <c r="BO43" s="430"/>
      <c r="BP43" s="430"/>
      <c r="BQ43" s="430"/>
      <c r="BR43" s="430"/>
      <c r="BS43" s="430"/>
      <c r="BT43" s="457"/>
      <c r="BU43" s="429">
        <f t="shared" ref="BU43" si="4">SUM(BU44:CC49)</f>
        <v>52315074</v>
      </c>
      <c r="BV43" s="430"/>
      <c r="BW43" s="430"/>
      <c r="BX43" s="430"/>
      <c r="BY43" s="430"/>
      <c r="BZ43" s="430"/>
      <c r="CA43" s="430"/>
      <c r="CB43" s="430"/>
      <c r="CC43" s="457"/>
      <c r="CD43" s="429">
        <f t="shared" ref="CD43" si="5">SUM(CD44:CL49)</f>
        <v>52768746.660000004</v>
      </c>
      <c r="CE43" s="430"/>
      <c r="CF43" s="430"/>
      <c r="CG43" s="430"/>
      <c r="CH43" s="430"/>
      <c r="CI43" s="430"/>
      <c r="CJ43" s="430"/>
      <c r="CK43" s="430"/>
      <c r="CL43" s="457"/>
      <c r="CM43" s="429">
        <f>CM38</f>
        <v>0</v>
      </c>
      <c r="CN43" s="430"/>
      <c r="CO43" s="430"/>
      <c r="CP43" s="430"/>
      <c r="CQ43" s="430"/>
      <c r="CR43" s="430"/>
      <c r="CS43" s="430"/>
      <c r="CT43" s="430"/>
      <c r="CU43" s="431"/>
    </row>
    <row r="44" spans="1:105" ht="15.75" x14ac:dyDescent="0.25">
      <c r="A44" s="458" t="s">
        <v>2</v>
      </c>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60"/>
      <c r="AV44" s="441" t="s">
        <v>221</v>
      </c>
      <c r="AW44" s="441"/>
      <c r="AX44" s="441"/>
      <c r="AY44" s="442"/>
      <c r="AZ44" s="443" t="s">
        <v>220</v>
      </c>
      <c r="BA44" s="441"/>
      <c r="BB44" s="441"/>
      <c r="BC44" s="441"/>
      <c r="BD44" s="441"/>
      <c r="BE44" s="442"/>
      <c r="BF44" s="443" t="s">
        <v>260</v>
      </c>
      <c r="BG44" s="441"/>
      <c r="BH44" s="441"/>
      <c r="BI44" s="441"/>
      <c r="BJ44" s="441"/>
      <c r="BK44" s="442"/>
      <c r="BL44" s="444">
        <f>'4 (2025)'!F13-'4 (2025)'!I13-'4 (2025)'!J13-'4 (2025)'!R13-'4 (2025)'!S13-'4 (2025)'!T13</f>
        <v>46011481</v>
      </c>
      <c r="BM44" s="466"/>
      <c r="BN44" s="466"/>
      <c r="BO44" s="466"/>
      <c r="BP44" s="466"/>
      <c r="BQ44" s="466"/>
      <c r="BR44" s="466"/>
      <c r="BS44" s="466"/>
      <c r="BT44" s="467"/>
      <c r="BU44" s="444">
        <f>'4 (2026)'!F13-'4 (2026)'!I13-'4 (2026)'!J13-'4 (2026)'!R13-'4 (2026)'!S13-'4 (2026)'!T13</f>
        <v>51451074</v>
      </c>
      <c r="BV44" s="466"/>
      <c r="BW44" s="466"/>
      <c r="BX44" s="466"/>
      <c r="BY44" s="466"/>
      <c r="BZ44" s="466"/>
      <c r="CA44" s="466"/>
      <c r="CB44" s="466"/>
      <c r="CC44" s="467"/>
      <c r="CD44" s="444">
        <f>'4 (2027)'!F13-'4 (2027)'!I13-'4 (2027)'!J13-'4 (2027)'!R13-'4 (2027)'!S13-'4 (2027)'!T13</f>
        <v>51904746.660000004</v>
      </c>
      <c r="CE44" s="466"/>
      <c r="CF44" s="466"/>
      <c r="CG44" s="466"/>
      <c r="CH44" s="466"/>
      <c r="CI44" s="466"/>
      <c r="CJ44" s="466"/>
      <c r="CK44" s="466"/>
      <c r="CL44" s="467"/>
      <c r="CM44" s="444">
        <f>CM43</f>
        <v>0</v>
      </c>
      <c r="CN44" s="466"/>
      <c r="CO44" s="466"/>
      <c r="CP44" s="466"/>
      <c r="CQ44" s="466"/>
      <c r="CR44" s="466"/>
      <c r="CS44" s="466"/>
      <c r="CT44" s="466"/>
      <c r="CU44" s="474"/>
    </row>
    <row r="45" spans="1:105" ht="15.75" x14ac:dyDescent="0.25">
      <c r="A45" s="438" t="s">
        <v>222</v>
      </c>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40"/>
      <c r="AV45" s="461"/>
      <c r="AW45" s="461"/>
      <c r="AX45" s="461"/>
      <c r="AY45" s="462"/>
      <c r="AZ45" s="464"/>
      <c r="BA45" s="461"/>
      <c r="BB45" s="461"/>
      <c r="BC45" s="461"/>
      <c r="BD45" s="461"/>
      <c r="BE45" s="462"/>
      <c r="BF45" s="464"/>
      <c r="BG45" s="461"/>
      <c r="BH45" s="461"/>
      <c r="BI45" s="461"/>
      <c r="BJ45" s="461"/>
      <c r="BK45" s="462"/>
      <c r="BL45" s="468"/>
      <c r="BM45" s="469"/>
      <c r="BN45" s="469"/>
      <c r="BO45" s="469"/>
      <c r="BP45" s="469"/>
      <c r="BQ45" s="469"/>
      <c r="BR45" s="469"/>
      <c r="BS45" s="469"/>
      <c r="BT45" s="470"/>
      <c r="BU45" s="468"/>
      <c r="BV45" s="469"/>
      <c r="BW45" s="469"/>
      <c r="BX45" s="469"/>
      <c r="BY45" s="469"/>
      <c r="BZ45" s="469"/>
      <c r="CA45" s="469"/>
      <c r="CB45" s="469"/>
      <c r="CC45" s="470"/>
      <c r="CD45" s="468"/>
      <c r="CE45" s="469"/>
      <c r="CF45" s="469"/>
      <c r="CG45" s="469"/>
      <c r="CH45" s="469"/>
      <c r="CI45" s="469"/>
      <c r="CJ45" s="469"/>
      <c r="CK45" s="469"/>
      <c r="CL45" s="470"/>
      <c r="CM45" s="468"/>
      <c r="CN45" s="469"/>
      <c r="CO45" s="469"/>
      <c r="CP45" s="469"/>
      <c r="CQ45" s="469"/>
      <c r="CR45" s="469"/>
      <c r="CS45" s="469"/>
      <c r="CT45" s="469"/>
      <c r="CU45" s="475"/>
    </row>
    <row r="46" spans="1:105" ht="15.75" x14ac:dyDescent="0.25">
      <c r="A46" s="438" t="s">
        <v>526</v>
      </c>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40"/>
      <c r="AV46" s="461"/>
      <c r="AW46" s="461"/>
      <c r="AX46" s="461"/>
      <c r="AY46" s="462"/>
      <c r="AZ46" s="464"/>
      <c r="BA46" s="461"/>
      <c r="BB46" s="461"/>
      <c r="BC46" s="461"/>
      <c r="BD46" s="461"/>
      <c r="BE46" s="462"/>
      <c r="BF46" s="464"/>
      <c r="BG46" s="461"/>
      <c r="BH46" s="461"/>
      <c r="BI46" s="461"/>
      <c r="BJ46" s="461"/>
      <c r="BK46" s="462"/>
      <c r="BL46" s="468"/>
      <c r="BM46" s="469"/>
      <c r="BN46" s="469"/>
      <c r="BO46" s="469"/>
      <c r="BP46" s="469"/>
      <c r="BQ46" s="469"/>
      <c r="BR46" s="469"/>
      <c r="BS46" s="469"/>
      <c r="BT46" s="470"/>
      <c r="BU46" s="468"/>
      <c r="BV46" s="469"/>
      <c r="BW46" s="469"/>
      <c r="BX46" s="469"/>
      <c r="BY46" s="469"/>
      <c r="BZ46" s="469"/>
      <c r="CA46" s="469"/>
      <c r="CB46" s="469"/>
      <c r="CC46" s="470"/>
      <c r="CD46" s="468"/>
      <c r="CE46" s="469"/>
      <c r="CF46" s="469"/>
      <c r="CG46" s="469"/>
      <c r="CH46" s="469"/>
      <c r="CI46" s="469"/>
      <c r="CJ46" s="469"/>
      <c r="CK46" s="469"/>
      <c r="CL46" s="470"/>
      <c r="CM46" s="468"/>
      <c r="CN46" s="469"/>
      <c r="CO46" s="469"/>
      <c r="CP46" s="469"/>
      <c r="CQ46" s="469"/>
      <c r="CR46" s="469"/>
      <c r="CS46" s="469"/>
      <c r="CT46" s="469"/>
      <c r="CU46" s="475"/>
    </row>
    <row r="47" spans="1:105" ht="15.75" x14ac:dyDescent="0.25">
      <c r="A47" s="477" t="s">
        <v>527</v>
      </c>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9"/>
      <c r="AV47" s="355"/>
      <c r="AW47" s="355"/>
      <c r="AX47" s="355"/>
      <c r="AY47" s="463"/>
      <c r="AZ47" s="465"/>
      <c r="BA47" s="355"/>
      <c r="BB47" s="355"/>
      <c r="BC47" s="355"/>
      <c r="BD47" s="355"/>
      <c r="BE47" s="463"/>
      <c r="BF47" s="465"/>
      <c r="BG47" s="355"/>
      <c r="BH47" s="355"/>
      <c r="BI47" s="355"/>
      <c r="BJ47" s="355"/>
      <c r="BK47" s="463"/>
      <c r="BL47" s="471"/>
      <c r="BM47" s="472"/>
      <c r="BN47" s="472"/>
      <c r="BO47" s="472"/>
      <c r="BP47" s="472"/>
      <c r="BQ47" s="472"/>
      <c r="BR47" s="472"/>
      <c r="BS47" s="472"/>
      <c r="BT47" s="473"/>
      <c r="BU47" s="471"/>
      <c r="BV47" s="472"/>
      <c r="BW47" s="472"/>
      <c r="BX47" s="472"/>
      <c r="BY47" s="472"/>
      <c r="BZ47" s="472"/>
      <c r="CA47" s="472"/>
      <c r="CB47" s="472"/>
      <c r="CC47" s="473"/>
      <c r="CD47" s="471"/>
      <c r="CE47" s="472"/>
      <c r="CF47" s="472"/>
      <c r="CG47" s="472"/>
      <c r="CH47" s="472"/>
      <c r="CI47" s="472"/>
      <c r="CJ47" s="472"/>
      <c r="CK47" s="472"/>
      <c r="CL47" s="473"/>
      <c r="CM47" s="471"/>
      <c r="CN47" s="472"/>
      <c r="CO47" s="472"/>
      <c r="CP47" s="472"/>
      <c r="CQ47" s="472"/>
      <c r="CR47" s="472"/>
      <c r="CS47" s="472"/>
      <c r="CT47" s="472"/>
      <c r="CU47" s="476"/>
      <c r="CW47" s="202">
        <v>4</v>
      </c>
    </row>
    <row r="48" spans="1:105" ht="15.75" x14ac:dyDescent="0.25">
      <c r="A48" s="480" t="s">
        <v>496</v>
      </c>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2"/>
      <c r="AV48" s="483" t="s">
        <v>223</v>
      </c>
      <c r="AW48" s="483"/>
      <c r="AX48" s="483"/>
      <c r="AY48" s="484"/>
      <c r="AZ48" s="487" t="s">
        <v>220</v>
      </c>
      <c r="BA48" s="483"/>
      <c r="BB48" s="483"/>
      <c r="BC48" s="483"/>
      <c r="BD48" s="483"/>
      <c r="BE48" s="484"/>
      <c r="BF48" s="443" t="s">
        <v>260</v>
      </c>
      <c r="BG48" s="441"/>
      <c r="BH48" s="441"/>
      <c r="BI48" s="441"/>
      <c r="BJ48" s="441"/>
      <c r="BK48" s="442"/>
      <c r="BL48" s="444">
        <f>ВБ!G12+ВБ!K12</f>
        <v>864000</v>
      </c>
      <c r="BM48" s="466"/>
      <c r="BN48" s="466"/>
      <c r="BO48" s="466"/>
      <c r="BP48" s="466"/>
      <c r="BQ48" s="466"/>
      <c r="BR48" s="466"/>
      <c r="BS48" s="466"/>
      <c r="BT48" s="467"/>
      <c r="BU48" s="444">
        <f>ВБ!F12-ВБ!H12</f>
        <v>864000</v>
      </c>
      <c r="BV48" s="466"/>
      <c r="BW48" s="466"/>
      <c r="BX48" s="466"/>
      <c r="BY48" s="466"/>
      <c r="BZ48" s="466"/>
      <c r="CA48" s="466"/>
      <c r="CB48" s="466"/>
      <c r="CC48" s="467"/>
      <c r="CD48" s="444">
        <f>ВБ!F12-ВБ!H12</f>
        <v>864000</v>
      </c>
      <c r="CE48" s="466"/>
      <c r="CF48" s="466"/>
      <c r="CG48" s="466"/>
      <c r="CH48" s="466"/>
      <c r="CI48" s="466"/>
      <c r="CJ48" s="466"/>
      <c r="CK48" s="466"/>
      <c r="CL48" s="467"/>
      <c r="CM48" s="444">
        <f>CM44</f>
        <v>0</v>
      </c>
      <c r="CN48" s="466"/>
      <c r="CO48" s="466"/>
      <c r="CP48" s="466"/>
      <c r="CQ48" s="466"/>
      <c r="CR48" s="466"/>
      <c r="CS48" s="466"/>
      <c r="CT48" s="466"/>
      <c r="CU48" s="474"/>
    </row>
    <row r="49" spans="1:101" ht="15.75" x14ac:dyDescent="0.25">
      <c r="A49" s="438" t="s">
        <v>497</v>
      </c>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40"/>
      <c r="AV49" s="485"/>
      <c r="AW49" s="485"/>
      <c r="AX49" s="485"/>
      <c r="AY49" s="486"/>
      <c r="AZ49" s="488"/>
      <c r="BA49" s="485"/>
      <c r="BB49" s="485"/>
      <c r="BC49" s="485"/>
      <c r="BD49" s="485"/>
      <c r="BE49" s="486"/>
      <c r="BF49" s="464"/>
      <c r="BG49" s="461"/>
      <c r="BH49" s="461"/>
      <c r="BI49" s="461"/>
      <c r="BJ49" s="461"/>
      <c r="BK49" s="462"/>
      <c r="BL49" s="468"/>
      <c r="BM49" s="469"/>
      <c r="BN49" s="469"/>
      <c r="BO49" s="469"/>
      <c r="BP49" s="469"/>
      <c r="BQ49" s="469"/>
      <c r="BR49" s="469"/>
      <c r="BS49" s="469"/>
      <c r="BT49" s="470"/>
      <c r="BU49" s="468"/>
      <c r="BV49" s="469"/>
      <c r="BW49" s="469"/>
      <c r="BX49" s="469"/>
      <c r="BY49" s="469"/>
      <c r="BZ49" s="469"/>
      <c r="CA49" s="469"/>
      <c r="CB49" s="469"/>
      <c r="CC49" s="470"/>
      <c r="CD49" s="468"/>
      <c r="CE49" s="469"/>
      <c r="CF49" s="469"/>
      <c r="CG49" s="469"/>
      <c r="CH49" s="469"/>
      <c r="CI49" s="469"/>
      <c r="CJ49" s="469"/>
      <c r="CK49" s="469"/>
      <c r="CL49" s="470"/>
      <c r="CM49" s="468"/>
      <c r="CN49" s="469"/>
      <c r="CO49" s="469"/>
      <c r="CP49" s="469"/>
      <c r="CQ49" s="469"/>
      <c r="CR49" s="469"/>
      <c r="CS49" s="469"/>
      <c r="CT49" s="469"/>
      <c r="CU49" s="475"/>
      <c r="CW49" s="202">
        <v>2</v>
      </c>
    </row>
    <row r="50" spans="1:101" ht="15.75" x14ac:dyDescent="0.25">
      <c r="A50" s="231"/>
      <c r="B50" s="232"/>
      <c r="C50" s="232" t="s">
        <v>4</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487" t="s">
        <v>528</v>
      </c>
      <c r="AW50" s="483"/>
      <c r="AX50" s="483"/>
      <c r="AY50" s="484"/>
      <c r="AZ50" s="487" t="s">
        <v>220</v>
      </c>
      <c r="BA50" s="483"/>
      <c r="BB50" s="483"/>
      <c r="BC50" s="483"/>
      <c r="BD50" s="483"/>
      <c r="BE50" s="484"/>
      <c r="BF50" s="443"/>
      <c r="BG50" s="441"/>
      <c r="BH50" s="441"/>
      <c r="BI50" s="441"/>
      <c r="BJ50" s="441"/>
      <c r="BK50" s="442"/>
      <c r="BL50" s="444">
        <v>0</v>
      </c>
      <c r="BM50" s="466"/>
      <c r="BN50" s="466"/>
      <c r="BO50" s="466"/>
      <c r="BP50" s="466"/>
      <c r="BQ50" s="466"/>
      <c r="BR50" s="466"/>
      <c r="BS50" s="466"/>
      <c r="BT50" s="467"/>
      <c r="BU50" s="444">
        <v>0</v>
      </c>
      <c r="BV50" s="466"/>
      <c r="BW50" s="466"/>
      <c r="BX50" s="466"/>
      <c r="BY50" s="466"/>
      <c r="BZ50" s="466"/>
      <c r="CA50" s="466"/>
      <c r="CB50" s="466"/>
      <c r="CC50" s="467"/>
      <c r="CD50" s="444">
        <v>0</v>
      </c>
      <c r="CE50" s="466"/>
      <c r="CF50" s="466"/>
      <c r="CG50" s="466"/>
      <c r="CH50" s="466"/>
      <c r="CI50" s="466"/>
      <c r="CJ50" s="466"/>
      <c r="CK50" s="466"/>
      <c r="CL50" s="467"/>
      <c r="CM50" s="233"/>
      <c r="CN50" s="233"/>
      <c r="CO50" s="233"/>
      <c r="CP50" s="233"/>
      <c r="CQ50" s="233"/>
      <c r="CR50" s="233"/>
      <c r="CS50" s="233"/>
      <c r="CT50" s="233"/>
      <c r="CU50" s="234"/>
    </row>
    <row r="51" spans="1:101" ht="15" customHeight="1" x14ac:dyDescent="0.25">
      <c r="A51" s="477" t="s">
        <v>529</v>
      </c>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96"/>
      <c r="AW51" s="497"/>
      <c r="AX51" s="497"/>
      <c r="AY51" s="498"/>
      <c r="AZ51" s="496"/>
      <c r="BA51" s="497"/>
      <c r="BB51" s="497"/>
      <c r="BC51" s="497"/>
      <c r="BD51" s="497"/>
      <c r="BE51" s="498"/>
      <c r="BF51" s="465"/>
      <c r="BG51" s="355"/>
      <c r="BH51" s="355"/>
      <c r="BI51" s="355"/>
      <c r="BJ51" s="355"/>
      <c r="BK51" s="463"/>
      <c r="BL51" s="471"/>
      <c r="BM51" s="472"/>
      <c r="BN51" s="472"/>
      <c r="BO51" s="472"/>
      <c r="BP51" s="472"/>
      <c r="BQ51" s="472"/>
      <c r="BR51" s="472"/>
      <c r="BS51" s="472"/>
      <c r="BT51" s="473"/>
      <c r="BU51" s="471"/>
      <c r="BV51" s="472"/>
      <c r="BW51" s="472"/>
      <c r="BX51" s="472"/>
      <c r="BY51" s="472"/>
      <c r="BZ51" s="472"/>
      <c r="CA51" s="472"/>
      <c r="CB51" s="472"/>
      <c r="CC51" s="473"/>
      <c r="CD51" s="471"/>
      <c r="CE51" s="472"/>
      <c r="CF51" s="472"/>
      <c r="CG51" s="472"/>
      <c r="CH51" s="472"/>
      <c r="CI51" s="472"/>
      <c r="CJ51" s="472"/>
      <c r="CK51" s="472"/>
      <c r="CL51" s="473"/>
      <c r="CM51" s="472"/>
      <c r="CN51" s="472"/>
      <c r="CO51" s="472"/>
      <c r="CP51" s="472"/>
      <c r="CQ51" s="472"/>
      <c r="CR51" s="472"/>
      <c r="CS51" s="472"/>
      <c r="CT51" s="472"/>
      <c r="CU51" s="476"/>
    </row>
    <row r="52" spans="1:101" ht="21" customHeight="1" x14ac:dyDescent="0.3">
      <c r="A52" s="337" t="s">
        <v>583</v>
      </c>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9" t="s">
        <v>584</v>
      </c>
      <c r="AW52" s="340"/>
      <c r="AX52" s="340"/>
      <c r="AY52" s="340"/>
      <c r="AZ52" s="499" t="s">
        <v>220</v>
      </c>
      <c r="BA52" s="499"/>
      <c r="BB52" s="499"/>
      <c r="BC52" s="499"/>
      <c r="BD52" s="499"/>
      <c r="BE52" s="499"/>
      <c r="BF52" s="499" t="s">
        <v>585</v>
      </c>
      <c r="BG52" s="499"/>
      <c r="BH52" s="499"/>
      <c r="BI52" s="499"/>
      <c r="BJ52" s="499"/>
      <c r="BK52" s="499"/>
      <c r="BL52" s="500">
        <f>'[1]5 (2021)'!L6</f>
        <v>0</v>
      </c>
      <c r="BM52" s="501"/>
      <c r="BN52" s="501"/>
      <c r="BO52" s="501"/>
      <c r="BP52" s="501"/>
      <c r="BQ52" s="501"/>
      <c r="BR52" s="501"/>
      <c r="BS52" s="501"/>
      <c r="BT52" s="501"/>
      <c r="BU52" s="500">
        <f>'[1]5 (2022)'!K6</f>
        <v>0</v>
      </c>
      <c r="BV52" s="501"/>
      <c r="BW52" s="501"/>
      <c r="BX52" s="501"/>
      <c r="BY52" s="501"/>
      <c r="BZ52" s="501"/>
      <c r="CA52" s="501"/>
      <c r="CB52" s="501"/>
      <c r="CC52" s="501"/>
      <c r="CD52" s="500">
        <f>'[1]5 (2023)'!K6</f>
        <v>0</v>
      </c>
      <c r="CE52" s="501"/>
      <c r="CF52" s="501"/>
      <c r="CG52" s="501"/>
      <c r="CH52" s="501"/>
      <c r="CI52" s="501"/>
      <c r="CJ52" s="501"/>
      <c r="CK52" s="501"/>
      <c r="CL52" s="501"/>
      <c r="CM52" s="501"/>
      <c r="CN52" s="501"/>
      <c r="CO52" s="501"/>
      <c r="CP52" s="501"/>
      <c r="CQ52" s="501"/>
      <c r="CR52" s="501"/>
      <c r="CS52" s="501"/>
      <c r="CT52" s="501"/>
      <c r="CU52" s="502"/>
    </row>
    <row r="53" spans="1:101" ht="23.25" customHeight="1" x14ac:dyDescent="0.25">
      <c r="A53" s="489" t="s">
        <v>224</v>
      </c>
      <c r="B53" s="490"/>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1"/>
      <c r="AV53" s="492" t="s">
        <v>225</v>
      </c>
      <c r="AW53" s="493"/>
      <c r="AX53" s="493"/>
      <c r="AY53" s="493"/>
      <c r="AZ53" s="493" t="s">
        <v>226</v>
      </c>
      <c r="BA53" s="493"/>
      <c r="BB53" s="493"/>
      <c r="BC53" s="493"/>
      <c r="BD53" s="493"/>
      <c r="BE53" s="493"/>
      <c r="BF53" s="493"/>
      <c r="BG53" s="493"/>
      <c r="BH53" s="493"/>
      <c r="BI53" s="493"/>
      <c r="BJ53" s="493"/>
      <c r="BK53" s="493"/>
      <c r="BL53" s="494">
        <f>BL54</f>
        <v>0</v>
      </c>
      <c r="BM53" s="494"/>
      <c r="BN53" s="494"/>
      <c r="BO53" s="494"/>
      <c r="BP53" s="494"/>
      <c r="BQ53" s="494"/>
      <c r="BR53" s="494"/>
      <c r="BS53" s="494"/>
      <c r="BT53" s="494"/>
      <c r="BU53" s="494">
        <f>BU54</f>
        <v>0</v>
      </c>
      <c r="BV53" s="494"/>
      <c r="BW53" s="494"/>
      <c r="BX53" s="494"/>
      <c r="BY53" s="494"/>
      <c r="BZ53" s="494"/>
      <c r="CA53" s="494"/>
      <c r="CB53" s="494"/>
      <c r="CC53" s="494"/>
      <c r="CD53" s="494">
        <f>CD54</f>
        <v>0</v>
      </c>
      <c r="CE53" s="494"/>
      <c r="CF53" s="494"/>
      <c r="CG53" s="494"/>
      <c r="CH53" s="494"/>
      <c r="CI53" s="494"/>
      <c r="CJ53" s="494"/>
      <c r="CK53" s="494"/>
      <c r="CL53" s="494"/>
      <c r="CM53" s="494"/>
      <c r="CN53" s="494"/>
      <c r="CO53" s="494"/>
      <c r="CP53" s="494"/>
      <c r="CQ53" s="494"/>
      <c r="CR53" s="494"/>
      <c r="CS53" s="494"/>
      <c r="CT53" s="494"/>
      <c r="CU53" s="495"/>
    </row>
    <row r="54" spans="1:101" ht="15.75" x14ac:dyDescent="0.25">
      <c r="A54" s="458" t="s">
        <v>2</v>
      </c>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60"/>
      <c r="AV54" s="441" t="s">
        <v>227</v>
      </c>
      <c r="AW54" s="441"/>
      <c r="AX54" s="441"/>
      <c r="AY54" s="442"/>
      <c r="AZ54" s="443" t="s">
        <v>226</v>
      </c>
      <c r="BA54" s="441"/>
      <c r="BB54" s="441"/>
      <c r="BC54" s="441"/>
      <c r="BD54" s="441"/>
      <c r="BE54" s="442"/>
      <c r="BF54" s="443" t="s">
        <v>516</v>
      </c>
      <c r="BG54" s="441"/>
      <c r="BH54" s="441"/>
      <c r="BI54" s="441"/>
      <c r="BJ54" s="441"/>
      <c r="BK54" s="442"/>
      <c r="BL54" s="504">
        <v>0</v>
      </c>
      <c r="BM54" s="466"/>
      <c r="BN54" s="466"/>
      <c r="BO54" s="466"/>
      <c r="BP54" s="466"/>
      <c r="BQ54" s="466"/>
      <c r="BR54" s="466"/>
      <c r="BS54" s="466"/>
      <c r="BT54" s="467"/>
      <c r="BU54" s="504">
        <v>0</v>
      </c>
      <c r="BV54" s="466"/>
      <c r="BW54" s="466"/>
      <c r="BX54" s="466"/>
      <c r="BY54" s="466"/>
      <c r="BZ54" s="466"/>
      <c r="CA54" s="466"/>
      <c r="CB54" s="466"/>
      <c r="CC54" s="467"/>
      <c r="CD54" s="504">
        <v>0</v>
      </c>
      <c r="CE54" s="466"/>
      <c r="CF54" s="466"/>
      <c r="CG54" s="466"/>
      <c r="CH54" s="466"/>
      <c r="CI54" s="466"/>
      <c r="CJ54" s="466"/>
      <c r="CK54" s="466"/>
      <c r="CL54" s="467"/>
      <c r="CM54" s="504"/>
      <c r="CN54" s="466"/>
      <c r="CO54" s="466"/>
      <c r="CP54" s="466"/>
      <c r="CQ54" s="466"/>
      <c r="CR54" s="466"/>
      <c r="CS54" s="466"/>
      <c r="CT54" s="466"/>
      <c r="CU54" s="474"/>
    </row>
    <row r="55" spans="1:101" ht="30.75" customHeight="1" x14ac:dyDescent="0.25">
      <c r="A55" s="505" t="s">
        <v>515</v>
      </c>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7"/>
      <c r="AV55" s="355"/>
      <c r="AW55" s="355"/>
      <c r="AX55" s="355"/>
      <c r="AY55" s="463"/>
      <c r="AZ55" s="465"/>
      <c r="BA55" s="355"/>
      <c r="BB55" s="355"/>
      <c r="BC55" s="355"/>
      <c r="BD55" s="355"/>
      <c r="BE55" s="463"/>
      <c r="BF55" s="465"/>
      <c r="BG55" s="355"/>
      <c r="BH55" s="355"/>
      <c r="BI55" s="355"/>
      <c r="BJ55" s="355"/>
      <c r="BK55" s="463"/>
      <c r="BL55" s="471"/>
      <c r="BM55" s="472"/>
      <c r="BN55" s="472"/>
      <c r="BO55" s="472"/>
      <c r="BP55" s="472"/>
      <c r="BQ55" s="472"/>
      <c r="BR55" s="472"/>
      <c r="BS55" s="472"/>
      <c r="BT55" s="473"/>
      <c r="BU55" s="471"/>
      <c r="BV55" s="472"/>
      <c r="BW55" s="472"/>
      <c r="BX55" s="472"/>
      <c r="BY55" s="472"/>
      <c r="BZ55" s="472"/>
      <c r="CA55" s="472"/>
      <c r="CB55" s="472"/>
      <c r="CC55" s="473"/>
      <c r="CD55" s="471"/>
      <c r="CE55" s="472"/>
      <c r="CF55" s="472"/>
      <c r="CG55" s="472"/>
      <c r="CH55" s="472"/>
      <c r="CI55" s="472"/>
      <c r="CJ55" s="472"/>
      <c r="CK55" s="472"/>
      <c r="CL55" s="473"/>
      <c r="CM55" s="471"/>
      <c r="CN55" s="472"/>
      <c r="CO55" s="472"/>
      <c r="CP55" s="472"/>
      <c r="CQ55" s="472"/>
      <c r="CR55" s="472"/>
      <c r="CS55" s="472"/>
      <c r="CT55" s="472"/>
      <c r="CU55" s="476"/>
    </row>
    <row r="56" spans="1:101" ht="22.5" customHeight="1" x14ac:dyDescent="0.25">
      <c r="A56" s="489" t="s">
        <v>228</v>
      </c>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1"/>
      <c r="AV56" s="492" t="s">
        <v>229</v>
      </c>
      <c r="AW56" s="493"/>
      <c r="AX56" s="493"/>
      <c r="AY56" s="493"/>
      <c r="AZ56" s="493" t="s">
        <v>230</v>
      </c>
      <c r="BA56" s="493"/>
      <c r="BB56" s="493"/>
      <c r="BC56" s="493"/>
      <c r="BD56" s="493"/>
      <c r="BE56" s="493"/>
      <c r="BF56" s="493"/>
      <c r="BG56" s="493"/>
      <c r="BH56" s="493"/>
      <c r="BI56" s="493"/>
      <c r="BJ56" s="493"/>
      <c r="BK56" s="493"/>
      <c r="BL56" s="503">
        <f>BL57+BL59+BL60+BL61</f>
        <v>7133307.7999999998</v>
      </c>
      <c r="BM56" s="494"/>
      <c r="BN56" s="494"/>
      <c r="BO56" s="494"/>
      <c r="BP56" s="494"/>
      <c r="BQ56" s="494"/>
      <c r="BR56" s="494"/>
      <c r="BS56" s="494"/>
      <c r="BT56" s="494"/>
      <c r="BU56" s="503">
        <f t="shared" ref="BU56" si="6">BU57+BU59+BU60+BU61</f>
        <v>6796466.6499999994</v>
      </c>
      <c r="BV56" s="494"/>
      <c r="BW56" s="494"/>
      <c r="BX56" s="494"/>
      <c r="BY56" s="494"/>
      <c r="BZ56" s="494"/>
      <c r="CA56" s="494"/>
      <c r="CB56" s="494"/>
      <c r="CC56" s="494"/>
      <c r="CD56" s="503">
        <f t="shared" ref="CD56" si="7">CD57+CD59+CD60+CD61</f>
        <v>9996511.6500000004</v>
      </c>
      <c r="CE56" s="494"/>
      <c r="CF56" s="494"/>
      <c r="CG56" s="494"/>
      <c r="CH56" s="494"/>
      <c r="CI56" s="494"/>
      <c r="CJ56" s="494"/>
      <c r="CK56" s="494"/>
      <c r="CL56" s="494"/>
      <c r="CM56" s="494"/>
      <c r="CN56" s="494"/>
      <c r="CO56" s="494"/>
      <c r="CP56" s="494"/>
      <c r="CQ56" s="494"/>
      <c r="CR56" s="494"/>
      <c r="CS56" s="494"/>
      <c r="CT56" s="494"/>
      <c r="CU56" s="495"/>
    </row>
    <row r="57" spans="1:101" ht="15.75" x14ac:dyDescent="0.25">
      <c r="A57" s="458" t="s">
        <v>2</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60"/>
      <c r="AV57" s="441" t="s">
        <v>517</v>
      </c>
      <c r="AW57" s="441"/>
      <c r="AX57" s="441"/>
      <c r="AY57" s="442"/>
      <c r="AZ57" s="443" t="s">
        <v>230</v>
      </c>
      <c r="BA57" s="441"/>
      <c r="BB57" s="441"/>
      <c r="BC57" s="441"/>
      <c r="BD57" s="441"/>
      <c r="BE57" s="442"/>
      <c r="BF57" s="443" t="s">
        <v>484</v>
      </c>
      <c r="BG57" s="441"/>
      <c r="BH57" s="441"/>
      <c r="BI57" s="441"/>
      <c r="BJ57" s="441"/>
      <c r="BK57" s="442"/>
      <c r="BL57" s="444">
        <f>'5 (2025) пит.'!F13+'5 (2025)'!E14+'5 (2025) ШСК+С'!F13+'4 (2025)'!I13+'4 (2025)'!J13+'4 (2025)'!R13+'4 (2025)'!S13+'4 (2025)'!T13+'5 (ТБ)'!F13</f>
        <v>7133307.7999999998</v>
      </c>
      <c r="BM57" s="466"/>
      <c r="BN57" s="466"/>
      <c r="BO57" s="466"/>
      <c r="BP57" s="466"/>
      <c r="BQ57" s="466"/>
      <c r="BR57" s="466"/>
      <c r="BS57" s="466"/>
      <c r="BT57" s="467"/>
      <c r="BU57" s="444">
        <f>'5 (2026)'!E14-'5 (2026)'!E21+'5 (2026) пит.'!F13+'5(2026) ШСК+С'!F13+'4 (2026)'!I13+'4 (2026)'!J13+'4 (2026)'!R13+'4 (2026)'!S13+'4 (2026)'!T13</f>
        <v>6796466.6499999994</v>
      </c>
      <c r="BV57" s="466"/>
      <c r="BW57" s="466"/>
      <c r="BX57" s="466"/>
      <c r="BY57" s="466"/>
      <c r="BZ57" s="466"/>
      <c r="CA57" s="466"/>
      <c r="CB57" s="466"/>
      <c r="CC57" s="467"/>
      <c r="CD57" s="444">
        <f>'5 (2027)'!E14-'5 (2027)'!E21+'5 (2027) пит.'!F13+'5(2027) ШСК+С'!F13+'4 (2027)'!I13+'4 (2027)'!J13+'4 (2027)'!R13+'4 (2027)'!S13+'4 (2027)'!T13</f>
        <v>9996511.6500000004</v>
      </c>
      <c r="CE57" s="466"/>
      <c r="CF57" s="466"/>
      <c r="CG57" s="466"/>
      <c r="CH57" s="466"/>
      <c r="CI57" s="466"/>
      <c r="CJ57" s="466"/>
      <c r="CK57" s="466"/>
      <c r="CL57" s="467"/>
      <c r="CM57" s="504"/>
      <c r="CN57" s="466"/>
      <c r="CO57" s="466"/>
      <c r="CP57" s="466"/>
      <c r="CQ57" s="466"/>
      <c r="CR57" s="466"/>
      <c r="CS57" s="466"/>
      <c r="CT57" s="466"/>
      <c r="CU57" s="474"/>
    </row>
    <row r="58" spans="1:101" ht="12.75" customHeight="1" x14ac:dyDescent="0.25">
      <c r="A58" s="477" t="s">
        <v>231</v>
      </c>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9"/>
      <c r="AV58" s="355"/>
      <c r="AW58" s="355"/>
      <c r="AX58" s="355"/>
      <c r="AY58" s="463"/>
      <c r="AZ58" s="465"/>
      <c r="BA58" s="355"/>
      <c r="BB58" s="355"/>
      <c r="BC58" s="355"/>
      <c r="BD58" s="355"/>
      <c r="BE58" s="463"/>
      <c r="BF58" s="465"/>
      <c r="BG58" s="355"/>
      <c r="BH58" s="355"/>
      <c r="BI58" s="355"/>
      <c r="BJ58" s="355"/>
      <c r="BK58" s="463"/>
      <c r="BL58" s="471"/>
      <c r="BM58" s="472"/>
      <c r="BN58" s="472"/>
      <c r="BO58" s="472"/>
      <c r="BP58" s="472"/>
      <c r="BQ58" s="472"/>
      <c r="BR58" s="472"/>
      <c r="BS58" s="472"/>
      <c r="BT58" s="473"/>
      <c r="BU58" s="471"/>
      <c r="BV58" s="472"/>
      <c r="BW58" s="472"/>
      <c r="BX58" s="472"/>
      <c r="BY58" s="472"/>
      <c r="BZ58" s="472"/>
      <c r="CA58" s="472"/>
      <c r="CB58" s="472"/>
      <c r="CC58" s="473"/>
      <c r="CD58" s="471"/>
      <c r="CE58" s="472"/>
      <c r="CF58" s="472"/>
      <c r="CG58" s="472"/>
      <c r="CH58" s="472"/>
      <c r="CI58" s="472"/>
      <c r="CJ58" s="472"/>
      <c r="CK58" s="472"/>
      <c r="CL58" s="473"/>
      <c r="CM58" s="471"/>
      <c r="CN58" s="472"/>
      <c r="CO58" s="472"/>
      <c r="CP58" s="472"/>
      <c r="CQ58" s="472"/>
      <c r="CR58" s="472"/>
      <c r="CS58" s="472"/>
      <c r="CT58" s="472"/>
      <c r="CU58" s="476"/>
      <c r="CW58" s="202">
        <v>5</v>
      </c>
    </row>
    <row r="59" spans="1:101" ht="21" customHeight="1" x14ac:dyDescent="0.25">
      <c r="A59" s="337" t="s">
        <v>232</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525"/>
      <c r="AV59" s="511" t="s">
        <v>518</v>
      </c>
      <c r="AW59" s="340"/>
      <c r="AX59" s="340"/>
      <c r="AY59" s="340"/>
      <c r="AZ59" s="340" t="s">
        <v>230</v>
      </c>
      <c r="BA59" s="340"/>
      <c r="BB59" s="340"/>
      <c r="BC59" s="340"/>
      <c r="BD59" s="340"/>
      <c r="BE59" s="340"/>
      <c r="BF59" s="340" t="s">
        <v>519</v>
      </c>
      <c r="BG59" s="340"/>
      <c r="BH59" s="340"/>
      <c r="BI59" s="340"/>
      <c r="BJ59" s="340"/>
      <c r="BK59" s="340"/>
      <c r="BL59" s="341">
        <f>'5 (2025)'!E22</f>
        <v>0</v>
      </c>
      <c r="BM59" s="342"/>
      <c r="BN59" s="342"/>
      <c r="BO59" s="342"/>
      <c r="BP59" s="342"/>
      <c r="BQ59" s="342"/>
      <c r="BR59" s="342"/>
      <c r="BS59" s="342"/>
      <c r="BT59" s="342"/>
      <c r="BU59" s="341">
        <f>'5 (2026)'!E21</f>
        <v>0</v>
      </c>
      <c r="BV59" s="342"/>
      <c r="BW59" s="342"/>
      <c r="BX59" s="342"/>
      <c r="BY59" s="342"/>
      <c r="BZ59" s="342"/>
      <c r="CA59" s="342"/>
      <c r="CB59" s="342"/>
      <c r="CC59" s="342"/>
      <c r="CD59" s="341">
        <f>'5 (2027)'!E21</f>
        <v>0</v>
      </c>
      <c r="CE59" s="342"/>
      <c r="CF59" s="342"/>
      <c r="CG59" s="342"/>
      <c r="CH59" s="342"/>
      <c r="CI59" s="342"/>
      <c r="CJ59" s="342"/>
      <c r="CK59" s="342"/>
      <c r="CL59" s="342"/>
      <c r="CM59" s="342"/>
      <c r="CN59" s="342"/>
      <c r="CO59" s="342"/>
      <c r="CP59" s="342"/>
      <c r="CQ59" s="342"/>
      <c r="CR59" s="342"/>
      <c r="CS59" s="342"/>
      <c r="CT59" s="342"/>
      <c r="CU59" s="512"/>
    </row>
    <row r="60" spans="1:101" ht="34.5" customHeight="1" x14ac:dyDescent="0.25">
      <c r="A60" s="505" t="s">
        <v>521</v>
      </c>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7"/>
      <c r="AV60" s="511" t="s">
        <v>520</v>
      </c>
      <c r="AW60" s="340"/>
      <c r="AX60" s="340"/>
      <c r="AY60" s="340"/>
      <c r="AZ60" s="340" t="s">
        <v>230</v>
      </c>
      <c r="BA60" s="340"/>
      <c r="BB60" s="340"/>
      <c r="BC60" s="340"/>
      <c r="BD60" s="340"/>
      <c r="BE60" s="340"/>
      <c r="BF60" s="340" t="s">
        <v>530</v>
      </c>
      <c r="BG60" s="340"/>
      <c r="BH60" s="340"/>
      <c r="BI60" s="340"/>
      <c r="BJ60" s="340"/>
      <c r="BK60" s="340"/>
      <c r="BL60" s="341">
        <f>ВБ!L12</f>
        <v>0</v>
      </c>
      <c r="BM60" s="342"/>
      <c r="BN60" s="342"/>
      <c r="BO60" s="342"/>
      <c r="BP60" s="342"/>
      <c r="BQ60" s="342"/>
      <c r="BR60" s="342"/>
      <c r="BS60" s="342"/>
      <c r="BT60" s="342"/>
      <c r="BU60" s="341">
        <v>0</v>
      </c>
      <c r="BV60" s="342"/>
      <c r="BW60" s="342"/>
      <c r="BX60" s="342"/>
      <c r="BY60" s="342"/>
      <c r="BZ60" s="342"/>
      <c r="CA60" s="342"/>
      <c r="CB60" s="342"/>
      <c r="CC60" s="342"/>
      <c r="CD60" s="341">
        <f>BU60</f>
        <v>0</v>
      </c>
      <c r="CE60" s="342"/>
      <c r="CF60" s="342"/>
      <c r="CG60" s="342"/>
      <c r="CH60" s="342"/>
      <c r="CI60" s="342"/>
      <c r="CJ60" s="342"/>
      <c r="CK60" s="342"/>
      <c r="CL60" s="342"/>
      <c r="CM60" s="342"/>
      <c r="CN60" s="342"/>
      <c r="CO60" s="342"/>
      <c r="CP60" s="342"/>
      <c r="CQ60" s="342"/>
      <c r="CR60" s="342"/>
      <c r="CS60" s="342"/>
      <c r="CT60" s="342"/>
      <c r="CU60" s="512"/>
    </row>
    <row r="61" spans="1:101" ht="30.75" customHeight="1" x14ac:dyDescent="0.25">
      <c r="A61" s="505" t="s">
        <v>531</v>
      </c>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7"/>
      <c r="AV61" s="339" t="s">
        <v>532</v>
      </c>
      <c r="AW61" s="340"/>
      <c r="AX61" s="340"/>
      <c r="AY61" s="340"/>
      <c r="AZ61" s="340" t="s">
        <v>230</v>
      </c>
      <c r="BA61" s="340"/>
      <c r="BB61" s="340"/>
      <c r="BC61" s="340"/>
      <c r="BD61" s="340"/>
      <c r="BE61" s="340"/>
      <c r="BF61" s="340" t="s">
        <v>484</v>
      </c>
      <c r="BG61" s="340"/>
      <c r="BH61" s="340"/>
      <c r="BI61" s="340"/>
      <c r="BJ61" s="340"/>
      <c r="BK61" s="340"/>
      <c r="BL61" s="341">
        <f>ВБ!H12</f>
        <v>0</v>
      </c>
      <c r="BM61" s="342"/>
      <c r="BN61" s="342"/>
      <c r="BO61" s="342"/>
      <c r="BP61" s="342"/>
      <c r="BQ61" s="342"/>
      <c r="BR61" s="342"/>
      <c r="BS61" s="342"/>
      <c r="BT61" s="342"/>
      <c r="BU61" s="341">
        <v>0</v>
      </c>
      <c r="BV61" s="342"/>
      <c r="BW61" s="342"/>
      <c r="BX61" s="342"/>
      <c r="BY61" s="342"/>
      <c r="BZ61" s="342"/>
      <c r="CA61" s="342"/>
      <c r="CB61" s="342"/>
      <c r="CC61" s="342"/>
      <c r="CD61" s="341">
        <v>0</v>
      </c>
      <c r="CE61" s="342"/>
      <c r="CF61" s="342"/>
      <c r="CG61" s="342"/>
      <c r="CH61" s="342"/>
      <c r="CI61" s="342"/>
      <c r="CJ61" s="342"/>
      <c r="CK61" s="342"/>
      <c r="CL61" s="342"/>
      <c r="CM61" s="342"/>
      <c r="CN61" s="342"/>
      <c r="CO61" s="342"/>
      <c r="CP61" s="342"/>
      <c r="CQ61" s="342"/>
      <c r="CR61" s="342"/>
      <c r="CS61" s="342"/>
      <c r="CT61" s="342"/>
      <c r="CU61" s="512"/>
    </row>
    <row r="62" spans="1:101" ht="18" customHeight="1" x14ac:dyDescent="0.25">
      <c r="A62" s="508" t="s">
        <v>233</v>
      </c>
      <c r="B62" s="509"/>
      <c r="C62" s="509"/>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10"/>
      <c r="AV62" s="511" t="s">
        <v>234</v>
      </c>
      <c r="AW62" s="340"/>
      <c r="AX62" s="340"/>
      <c r="AY62" s="340"/>
      <c r="AZ62" s="340"/>
      <c r="BA62" s="340"/>
      <c r="BB62" s="340"/>
      <c r="BC62" s="340"/>
      <c r="BD62" s="340"/>
      <c r="BE62" s="340"/>
      <c r="BF62" s="340"/>
      <c r="BG62" s="340"/>
      <c r="BH62" s="340"/>
      <c r="BI62" s="340"/>
      <c r="BJ62" s="340"/>
      <c r="BK62" s="340"/>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512"/>
    </row>
    <row r="63" spans="1:101" ht="15.75" x14ac:dyDescent="0.25">
      <c r="A63" s="458" t="s">
        <v>2</v>
      </c>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60"/>
      <c r="AV63" s="441" t="s">
        <v>533</v>
      </c>
      <c r="AW63" s="441"/>
      <c r="AX63" s="441"/>
      <c r="AY63" s="442"/>
      <c r="AZ63" s="443"/>
      <c r="BA63" s="441"/>
      <c r="BB63" s="441"/>
      <c r="BC63" s="441"/>
      <c r="BD63" s="441"/>
      <c r="BE63" s="442"/>
      <c r="BF63" s="443"/>
      <c r="BG63" s="441"/>
      <c r="BH63" s="441"/>
      <c r="BI63" s="441"/>
      <c r="BJ63" s="441"/>
      <c r="BK63" s="442"/>
      <c r="BL63" s="444"/>
      <c r="BM63" s="466"/>
      <c r="BN63" s="466"/>
      <c r="BO63" s="466"/>
      <c r="BP63" s="466"/>
      <c r="BQ63" s="466"/>
      <c r="BR63" s="466"/>
      <c r="BS63" s="466"/>
      <c r="BT63" s="467"/>
      <c r="BU63" s="504"/>
      <c r="BV63" s="466"/>
      <c r="BW63" s="466"/>
      <c r="BX63" s="466"/>
      <c r="BY63" s="466"/>
      <c r="BZ63" s="466"/>
      <c r="CA63" s="466"/>
      <c r="CB63" s="466"/>
      <c r="CC63" s="467"/>
      <c r="CD63" s="504"/>
      <c r="CE63" s="466"/>
      <c r="CF63" s="466"/>
      <c r="CG63" s="466"/>
      <c r="CH63" s="466"/>
      <c r="CI63" s="466"/>
      <c r="CJ63" s="466"/>
      <c r="CK63" s="466"/>
      <c r="CL63" s="467"/>
      <c r="CM63" s="504"/>
      <c r="CN63" s="466"/>
      <c r="CO63" s="466"/>
      <c r="CP63" s="466"/>
      <c r="CQ63" s="466"/>
      <c r="CR63" s="466"/>
      <c r="CS63" s="466"/>
      <c r="CT63" s="466"/>
      <c r="CU63" s="474"/>
    </row>
    <row r="64" spans="1:101" ht="6" customHeight="1" x14ac:dyDescent="0.25">
      <c r="A64" s="477"/>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8"/>
      <c r="AP64" s="478"/>
      <c r="AQ64" s="478"/>
      <c r="AR64" s="478"/>
      <c r="AS64" s="478"/>
      <c r="AT64" s="478"/>
      <c r="AU64" s="479"/>
      <c r="AV64" s="355"/>
      <c r="AW64" s="355"/>
      <c r="AX64" s="355"/>
      <c r="AY64" s="463"/>
      <c r="AZ64" s="465"/>
      <c r="BA64" s="355"/>
      <c r="BB64" s="355"/>
      <c r="BC64" s="355"/>
      <c r="BD64" s="355"/>
      <c r="BE64" s="463"/>
      <c r="BF64" s="465"/>
      <c r="BG64" s="355"/>
      <c r="BH64" s="355"/>
      <c r="BI64" s="355"/>
      <c r="BJ64" s="355"/>
      <c r="BK64" s="463"/>
      <c r="BL64" s="471"/>
      <c r="BM64" s="472"/>
      <c r="BN64" s="472"/>
      <c r="BO64" s="472"/>
      <c r="BP64" s="472"/>
      <c r="BQ64" s="472"/>
      <c r="BR64" s="472"/>
      <c r="BS64" s="472"/>
      <c r="BT64" s="473"/>
      <c r="BU64" s="471"/>
      <c r="BV64" s="472"/>
      <c r="BW64" s="472"/>
      <c r="BX64" s="472"/>
      <c r="BY64" s="472"/>
      <c r="BZ64" s="472"/>
      <c r="CA64" s="472"/>
      <c r="CB64" s="472"/>
      <c r="CC64" s="473"/>
      <c r="CD64" s="471"/>
      <c r="CE64" s="472"/>
      <c r="CF64" s="472"/>
      <c r="CG64" s="472"/>
      <c r="CH64" s="472"/>
      <c r="CI64" s="472"/>
      <c r="CJ64" s="472"/>
      <c r="CK64" s="472"/>
      <c r="CL64" s="473"/>
      <c r="CM64" s="471"/>
      <c r="CN64" s="472"/>
      <c r="CO64" s="472"/>
      <c r="CP64" s="472"/>
      <c r="CQ64" s="472"/>
      <c r="CR64" s="472"/>
      <c r="CS64" s="472"/>
      <c r="CT64" s="472"/>
      <c r="CU64" s="476"/>
    </row>
    <row r="65" spans="1:103" ht="17.25" customHeight="1" x14ac:dyDescent="0.25">
      <c r="A65" s="508" t="s">
        <v>576</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10"/>
      <c r="AV65" s="511" t="s">
        <v>235</v>
      </c>
      <c r="AW65" s="340"/>
      <c r="AX65" s="340"/>
      <c r="AY65" s="340"/>
      <c r="AZ65" s="340" t="s">
        <v>46</v>
      </c>
      <c r="BA65" s="340"/>
      <c r="BB65" s="340"/>
      <c r="BC65" s="340"/>
      <c r="BD65" s="340"/>
      <c r="BE65" s="340"/>
      <c r="BF65" s="340"/>
      <c r="BG65" s="340"/>
      <c r="BH65" s="340"/>
      <c r="BI65" s="340"/>
      <c r="BJ65" s="340"/>
      <c r="BK65" s="340"/>
      <c r="BL65" s="342"/>
      <c r="BM65" s="342"/>
      <c r="BN65" s="342"/>
      <c r="BO65" s="342"/>
      <c r="BP65" s="342"/>
      <c r="BQ65" s="342"/>
      <c r="BR65" s="342"/>
      <c r="BS65" s="342"/>
      <c r="BT65" s="342"/>
      <c r="BU65" s="342"/>
      <c r="BV65" s="342"/>
      <c r="BW65" s="342"/>
      <c r="BX65" s="342"/>
      <c r="BY65" s="342"/>
      <c r="BZ65" s="342"/>
      <c r="CA65" s="342"/>
      <c r="CB65" s="342"/>
      <c r="CC65" s="342"/>
      <c r="CD65" s="342"/>
      <c r="CE65" s="342"/>
      <c r="CF65" s="342"/>
      <c r="CG65" s="342"/>
      <c r="CH65" s="342"/>
      <c r="CI65" s="342"/>
      <c r="CJ65" s="342"/>
      <c r="CK65" s="342"/>
      <c r="CL65" s="342"/>
      <c r="CM65" s="342"/>
      <c r="CN65" s="342"/>
      <c r="CO65" s="342"/>
      <c r="CP65" s="342"/>
      <c r="CQ65" s="342"/>
      <c r="CR65" s="342"/>
      <c r="CS65" s="342"/>
      <c r="CT65" s="342"/>
      <c r="CU65" s="512"/>
    </row>
    <row r="66" spans="1:103" ht="15.75" x14ac:dyDescent="0.25">
      <c r="A66" s="458" t="s">
        <v>4</v>
      </c>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60"/>
      <c r="AV66" s="441" t="s">
        <v>236</v>
      </c>
      <c r="AW66" s="441"/>
      <c r="AX66" s="441"/>
      <c r="AY66" s="442"/>
      <c r="AZ66" s="443" t="s">
        <v>237</v>
      </c>
      <c r="BA66" s="441"/>
      <c r="BB66" s="441"/>
      <c r="BC66" s="441"/>
      <c r="BD66" s="441"/>
      <c r="BE66" s="442"/>
      <c r="BF66" s="443"/>
      <c r="BG66" s="441"/>
      <c r="BH66" s="441"/>
      <c r="BI66" s="441"/>
      <c r="BJ66" s="441"/>
      <c r="BK66" s="442"/>
      <c r="BL66" s="444"/>
      <c r="BM66" s="466"/>
      <c r="BN66" s="466"/>
      <c r="BO66" s="466"/>
      <c r="BP66" s="466"/>
      <c r="BQ66" s="466"/>
      <c r="BR66" s="466"/>
      <c r="BS66" s="466"/>
      <c r="BT66" s="467"/>
      <c r="BU66" s="444"/>
      <c r="BV66" s="466"/>
      <c r="BW66" s="466"/>
      <c r="BX66" s="466"/>
      <c r="BY66" s="466"/>
      <c r="BZ66" s="466"/>
      <c r="CA66" s="466"/>
      <c r="CB66" s="466"/>
      <c r="CC66" s="467"/>
      <c r="CD66" s="504"/>
      <c r="CE66" s="466"/>
      <c r="CF66" s="466"/>
      <c r="CG66" s="466"/>
      <c r="CH66" s="466"/>
      <c r="CI66" s="466"/>
      <c r="CJ66" s="466"/>
      <c r="CK66" s="466"/>
      <c r="CL66" s="467"/>
      <c r="CM66" s="504" t="s">
        <v>46</v>
      </c>
      <c r="CN66" s="466"/>
      <c r="CO66" s="466"/>
      <c r="CP66" s="466"/>
      <c r="CQ66" s="466"/>
      <c r="CR66" s="466"/>
      <c r="CS66" s="466"/>
      <c r="CT66" s="466"/>
      <c r="CU66" s="474"/>
    </row>
    <row r="67" spans="1:103" ht="15.75" x14ac:dyDescent="0.25">
      <c r="A67" s="438" t="s">
        <v>238</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40"/>
      <c r="AV67" s="461"/>
      <c r="AW67" s="461"/>
      <c r="AX67" s="461"/>
      <c r="AY67" s="462"/>
      <c r="AZ67" s="464"/>
      <c r="BA67" s="461"/>
      <c r="BB67" s="461"/>
      <c r="BC67" s="461"/>
      <c r="BD67" s="461"/>
      <c r="BE67" s="462"/>
      <c r="BF67" s="464"/>
      <c r="BG67" s="461"/>
      <c r="BH67" s="461"/>
      <c r="BI67" s="461"/>
      <c r="BJ67" s="461"/>
      <c r="BK67" s="462"/>
      <c r="BL67" s="468"/>
      <c r="BM67" s="469"/>
      <c r="BN67" s="469"/>
      <c r="BO67" s="469"/>
      <c r="BP67" s="469"/>
      <c r="BQ67" s="469"/>
      <c r="BR67" s="469"/>
      <c r="BS67" s="469"/>
      <c r="BT67" s="470"/>
      <c r="BU67" s="468"/>
      <c r="BV67" s="469"/>
      <c r="BW67" s="469"/>
      <c r="BX67" s="469"/>
      <c r="BY67" s="469"/>
      <c r="BZ67" s="469"/>
      <c r="CA67" s="469"/>
      <c r="CB67" s="469"/>
      <c r="CC67" s="470"/>
      <c r="CD67" s="468"/>
      <c r="CE67" s="469"/>
      <c r="CF67" s="469"/>
      <c r="CG67" s="469"/>
      <c r="CH67" s="469"/>
      <c r="CI67" s="469"/>
      <c r="CJ67" s="469"/>
      <c r="CK67" s="469"/>
      <c r="CL67" s="470"/>
      <c r="CM67" s="468"/>
      <c r="CN67" s="469"/>
      <c r="CO67" s="469"/>
      <c r="CP67" s="469"/>
      <c r="CQ67" s="469"/>
      <c r="CR67" s="469"/>
      <c r="CS67" s="469"/>
      <c r="CT67" s="469"/>
      <c r="CU67" s="475"/>
    </row>
    <row r="68" spans="1:103" ht="15.75" x14ac:dyDescent="0.25">
      <c r="A68" s="477" t="s">
        <v>239</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9"/>
      <c r="AV68" s="355"/>
      <c r="AW68" s="355"/>
      <c r="AX68" s="355"/>
      <c r="AY68" s="463"/>
      <c r="AZ68" s="465"/>
      <c r="BA68" s="355"/>
      <c r="BB68" s="355"/>
      <c r="BC68" s="355"/>
      <c r="BD68" s="355"/>
      <c r="BE68" s="463"/>
      <c r="BF68" s="465"/>
      <c r="BG68" s="355"/>
      <c r="BH68" s="355"/>
      <c r="BI68" s="355"/>
      <c r="BJ68" s="355"/>
      <c r="BK68" s="463"/>
      <c r="BL68" s="471"/>
      <c r="BM68" s="472"/>
      <c r="BN68" s="472"/>
      <c r="BO68" s="472"/>
      <c r="BP68" s="472"/>
      <c r="BQ68" s="472"/>
      <c r="BR68" s="472"/>
      <c r="BS68" s="472"/>
      <c r="BT68" s="473"/>
      <c r="BU68" s="471"/>
      <c r="BV68" s="472"/>
      <c r="BW68" s="472"/>
      <c r="BX68" s="472"/>
      <c r="BY68" s="472"/>
      <c r="BZ68" s="472"/>
      <c r="CA68" s="472"/>
      <c r="CB68" s="472"/>
      <c r="CC68" s="473"/>
      <c r="CD68" s="471"/>
      <c r="CE68" s="472"/>
      <c r="CF68" s="472"/>
      <c r="CG68" s="472"/>
      <c r="CH68" s="472"/>
      <c r="CI68" s="472"/>
      <c r="CJ68" s="472"/>
      <c r="CK68" s="472"/>
      <c r="CL68" s="473"/>
      <c r="CM68" s="471"/>
      <c r="CN68" s="472"/>
      <c r="CO68" s="472"/>
      <c r="CP68" s="472"/>
      <c r="CQ68" s="472"/>
      <c r="CR68" s="472"/>
      <c r="CS68" s="472"/>
      <c r="CT68" s="472"/>
      <c r="CU68" s="476"/>
    </row>
    <row r="69" spans="1:103" ht="13.5" customHeight="1" x14ac:dyDescent="0.25">
      <c r="A69" s="337"/>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525"/>
      <c r="AV69" s="511"/>
      <c r="AW69" s="340"/>
      <c r="AX69" s="340"/>
      <c r="AY69" s="340"/>
      <c r="AZ69" s="340"/>
      <c r="BA69" s="340"/>
      <c r="BB69" s="340"/>
      <c r="BC69" s="340"/>
      <c r="BD69" s="340"/>
      <c r="BE69" s="340"/>
      <c r="BF69" s="340"/>
      <c r="BG69" s="340"/>
      <c r="BH69" s="340"/>
      <c r="BI69" s="340"/>
      <c r="BJ69" s="340"/>
      <c r="BK69" s="340"/>
      <c r="BL69" s="342"/>
      <c r="BM69" s="342"/>
      <c r="BN69" s="342"/>
      <c r="BO69" s="342"/>
      <c r="BP69" s="342"/>
      <c r="BQ69" s="342"/>
      <c r="BR69" s="342"/>
      <c r="BS69" s="342"/>
      <c r="BT69" s="342"/>
      <c r="BU69" s="342"/>
      <c r="BV69" s="342"/>
      <c r="BW69" s="342"/>
      <c r="BX69" s="342"/>
      <c r="BY69" s="342"/>
      <c r="BZ69" s="342"/>
      <c r="CA69" s="342"/>
      <c r="CB69" s="342"/>
      <c r="CC69" s="342"/>
      <c r="CD69" s="342"/>
      <c r="CE69" s="342"/>
      <c r="CF69" s="342"/>
      <c r="CG69" s="342"/>
      <c r="CH69" s="342"/>
      <c r="CI69" s="342"/>
      <c r="CJ69" s="342"/>
      <c r="CK69" s="342"/>
      <c r="CL69" s="342"/>
      <c r="CM69" s="513"/>
      <c r="CN69" s="513"/>
      <c r="CO69" s="513"/>
      <c r="CP69" s="513"/>
      <c r="CQ69" s="513"/>
      <c r="CR69" s="513"/>
      <c r="CS69" s="513"/>
      <c r="CT69" s="513"/>
      <c r="CU69" s="514"/>
    </row>
    <row r="70" spans="1:103" ht="36" customHeight="1" x14ac:dyDescent="0.3">
      <c r="A70" s="515" t="s">
        <v>240</v>
      </c>
      <c r="B70" s="516"/>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7"/>
      <c r="AV70" s="518" t="s">
        <v>241</v>
      </c>
      <c r="AW70" s="519"/>
      <c r="AX70" s="519"/>
      <c r="AY70" s="519"/>
      <c r="AZ70" s="519" t="s">
        <v>46</v>
      </c>
      <c r="BA70" s="519"/>
      <c r="BB70" s="519"/>
      <c r="BC70" s="519"/>
      <c r="BD70" s="519"/>
      <c r="BE70" s="519"/>
      <c r="BF70" s="519" t="s">
        <v>468</v>
      </c>
      <c r="BG70" s="519"/>
      <c r="BH70" s="519"/>
      <c r="BI70" s="519"/>
      <c r="BJ70" s="519"/>
      <c r="BK70" s="519"/>
      <c r="BL70" s="520">
        <f>BL71+BL92+BL106+BL112+BL124+BL145</f>
        <v>54718191.299999997</v>
      </c>
      <c r="BM70" s="521"/>
      <c r="BN70" s="521"/>
      <c r="BO70" s="521"/>
      <c r="BP70" s="521"/>
      <c r="BQ70" s="521"/>
      <c r="BR70" s="521"/>
      <c r="BS70" s="521"/>
      <c r="BT70" s="521"/>
      <c r="BU70" s="520">
        <f>BU71+BU92+BU106+BU112+BU124+BU145</f>
        <v>59111540.650000006</v>
      </c>
      <c r="BV70" s="521"/>
      <c r="BW70" s="521"/>
      <c r="BX70" s="521"/>
      <c r="BY70" s="521"/>
      <c r="BZ70" s="521"/>
      <c r="CA70" s="521"/>
      <c r="CB70" s="521"/>
      <c r="CC70" s="521"/>
      <c r="CD70" s="520">
        <f>CD71+CD92+CD106+CD112+CD124+CD145</f>
        <v>62765258.310000002</v>
      </c>
      <c r="CE70" s="521"/>
      <c r="CF70" s="521"/>
      <c r="CG70" s="521"/>
      <c r="CH70" s="521"/>
      <c r="CI70" s="521"/>
      <c r="CJ70" s="521"/>
      <c r="CK70" s="521"/>
      <c r="CL70" s="521"/>
      <c r="CM70" s="522"/>
      <c r="CN70" s="523"/>
      <c r="CO70" s="523"/>
      <c r="CP70" s="523"/>
      <c r="CQ70" s="523"/>
      <c r="CR70" s="523"/>
      <c r="CS70" s="523"/>
      <c r="CT70" s="523"/>
      <c r="CU70" s="524"/>
      <c r="CW70" s="319"/>
      <c r="CY70" s="319"/>
    </row>
    <row r="71" spans="1:103" ht="15.75" x14ac:dyDescent="0.25">
      <c r="A71" s="448" t="s">
        <v>2</v>
      </c>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50"/>
      <c r="AV71" s="454" t="s">
        <v>242</v>
      </c>
      <c r="AW71" s="454"/>
      <c r="AX71" s="454"/>
      <c r="AY71" s="455"/>
      <c r="AZ71" s="456" t="s">
        <v>46</v>
      </c>
      <c r="BA71" s="454"/>
      <c r="BB71" s="454"/>
      <c r="BC71" s="454"/>
      <c r="BD71" s="454"/>
      <c r="BE71" s="455"/>
      <c r="BF71" s="456" t="s">
        <v>469</v>
      </c>
      <c r="BG71" s="454"/>
      <c r="BH71" s="454"/>
      <c r="BI71" s="454"/>
      <c r="BJ71" s="454"/>
      <c r="BK71" s="455"/>
      <c r="BL71" s="429">
        <f>BL73+BL75+BL76+BL78</f>
        <v>40400194.829999998</v>
      </c>
      <c r="BM71" s="529"/>
      <c r="BN71" s="529"/>
      <c r="BO71" s="529"/>
      <c r="BP71" s="529"/>
      <c r="BQ71" s="529"/>
      <c r="BR71" s="529"/>
      <c r="BS71" s="529"/>
      <c r="BT71" s="530"/>
      <c r="BU71" s="429">
        <f t="shared" ref="BU71" si="8">BU73+BU75+BU76+BU78</f>
        <v>45092294.850000001</v>
      </c>
      <c r="BV71" s="529"/>
      <c r="BW71" s="529"/>
      <c r="BX71" s="529"/>
      <c r="BY71" s="529"/>
      <c r="BZ71" s="529"/>
      <c r="CA71" s="529"/>
      <c r="CB71" s="529"/>
      <c r="CC71" s="530"/>
      <c r="CD71" s="429">
        <f t="shared" ref="CD71" si="9">CD73+CD75+CD76+CD78</f>
        <v>45099495.600000001</v>
      </c>
      <c r="CE71" s="529"/>
      <c r="CF71" s="529"/>
      <c r="CG71" s="529"/>
      <c r="CH71" s="529"/>
      <c r="CI71" s="529"/>
      <c r="CJ71" s="529"/>
      <c r="CK71" s="529"/>
      <c r="CL71" s="530"/>
      <c r="CM71" s="534" t="s">
        <v>46</v>
      </c>
      <c r="CN71" s="529"/>
      <c r="CO71" s="529"/>
      <c r="CP71" s="529"/>
      <c r="CQ71" s="529"/>
      <c r="CR71" s="529"/>
      <c r="CS71" s="529"/>
      <c r="CT71" s="529"/>
      <c r="CU71" s="535"/>
    </row>
    <row r="72" spans="1:103" ht="15.75" x14ac:dyDescent="0.25">
      <c r="A72" s="435" t="s">
        <v>243</v>
      </c>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7"/>
      <c r="AV72" s="526"/>
      <c r="AW72" s="526"/>
      <c r="AX72" s="526"/>
      <c r="AY72" s="527"/>
      <c r="AZ72" s="528"/>
      <c r="BA72" s="526"/>
      <c r="BB72" s="526"/>
      <c r="BC72" s="526"/>
      <c r="BD72" s="526"/>
      <c r="BE72" s="527"/>
      <c r="BF72" s="528"/>
      <c r="BG72" s="526"/>
      <c r="BH72" s="526"/>
      <c r="BI72" s="526"/>
      <c r="BJ72" s="526"/>
      <c r="BK72" s="527"/>
      <c r="BL72" s="531"/>
      <c r="BM72" s="532"/>
      <c r="BN72" s="532"/>
      <c r="BO72" s="532"/>
      <c r="BP72" s="532"/>
      <c r="BQ72" s="532"/>
      <c r="BR72" s="532"/>
      <c r="BS72" s="532"/>
      <c r="BT72" s="533"/>
      <c r="BU72" s="531"/>
      <c r="BV72" s="532"/>
      <c r="BW72" s="532"/>
      <c r="BX72" s="532"/>
      <c r="BY72" s="532"/>
      <c r="BZ72" s="532"/>
      <c r="CA72" s="532"/>
      <c r="CB72" s="532"/>
      <c r="CC72" s="533"/>
      <c r="CD72" s="531"/>
      <c r="CE72" s="532"/>
      <c r="CF72" s="532"/>
      <c r="CG72" s="532"/>
      <c r="CH72" s="532"/>
      <c r="CI72" s="532"/>
      <c r="CJ72" s="532"/>
      <c r="CK72" s="532"/>
      <c r="CL72" s="533"/>
      <c r="CM72" s="531"/>
      <c r="CN72" s="532"/>
      <c r="CO72" s="532"/>
      <c r="CP72" s="532"/>
      <c r="CQ72" s="532"/>
      <c r="CR72" s="532"/>
      <c r="CS72" s="532"/>
      <c r="CT72" s="532"/>
      <c r="CU72" s="536"/>
    </row>
    <row r="73" spans="1:103" ht="15.75" x14ac:dyDescent="0.25">
      <c r="A73" s="537" t="s">
        <v>2</v>
      </c>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c r="AK73" s="538"/>
      <c r="AL73" s="538"/>
      <c r="AM73" s="538"/>
      <c r="AN73" s="538"/>
      <c r="AO73" s="538"/>
      <c r="AP73" s="538"/>
      <c r="AQ73" s="538"/>
      <c r="AR73" s="538"/>
      <c r="AS73" s="538"/>
      <c r="AT73" s="538"/>
      <c r="AU73" s="539"/>
      <c r="AV73" s="540" t="s">
        <v>244</v>
      </c>
      <c r="AW73" s="540"/>
      <c r="AX73" s="540"/>
      <c r="AY73" s="541"/>
      <c r="AZ73" s="544" t="s">
        <v>47</v>
      </c>
      <c r="BA73" s="545"/>
      <c r="BB73" s="545"/>
      <c r="BC73" s="545"/>
      <c r="BD73" s="545"/>
      <c r="BE73" s="546"/>
      <c r="BF73" s="550" t="s">
        <v>90</v>
      </c>
      <c r="BG73" s="540"/>
      <c r="BH73" s="540"/>
      <c r="BI73" s="540"/>
      <c r="BJ73" s="540"/>
      <c r="BK73" s="541"/>
      <c r="BL73" s="552">
        <f>'ОСТАТКИ МЗ'!F15+'4 (2025)'!F15+'5 (2025)'!H16+'4 (2025)'!F49+'5 (2025) ШСК+С'!F15+'5 (ТБ)'!F15</f>
        <v>30406755.079999998</v>
      </c>
      <c r="BM73" s="553"/>
      <c r="BN73" s="553"/>
      <c r="BO73" s="553"/>
      <c r="BP73" s="553"/>
      <c r="BQ73" s="553"/>
      <c r="BR73" s="553"/>
      <c r="BS73" s="553"/>
      <c r="BT73" s="554"/>
      <c r="BU73" s="552">
        <f>'4 (2026)'!F15+'4 (2026)'!F49+'5(2026) ШСК+С'!F15+'5 (2026)'!E16</f>
        <v>34010516.870000005</v>
      </c>
      <c r="BV73" s="553"/>
      <c r="BW73" s="553"/>
      <c r="BX73" s="553"/>
      <c r="BY73" s="553"/>
      <c r="BZ73" s="553"/>
      <c r="CA73" s="553"/>
      <c r="CB73" s="553"/>
      <c r="CC73" s="554"/>
      <c r="CD73" s="552">
        <f>'4 (2027)'!F15+'4 (2027)'!F49+'5(2027) ШСК+С'!F15+'5 (2027)'!E16</f>
        <v>34014795.870000005</v>
      </c>
      <c r="CE73" s="553"/>
      <c r="CF73" s="553"/>
      <c r="CG73" s="553"/>
      <c r="CH73" s="553"/>
      <c r="CI73" s="553"/>
      <c r="CJ73" s="553"/>
      <c r="CK73" s="553"/>
      <c r="CL73" s="554"/>
      <c r="CM73" s="558" t="s">
        <v>46</v>
      </c>
      <c r="CN73" s="553"/>
      <c r="CO73" s="553"/>
      <c r="CP73" s="553"/>
      <c r="CQ73" s="553"/>
      <c r="CR73" s="553"/>
      <c r="CS73" s="553"/>
      <c r="CT73" s="553"/>
      <c r="CU73" s="559"/>
    </row>
    <row r="74" spans="1:103" ht="15.75" x14ac:dyDescent="0.25">
      <c r="A74" s="561" t="s">
        <v>245</v>
      </c>
      <c r="B74" s="562"/>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2"/>
      <c r="AS74" s="562"/>
      <c r="AT74" s="562"/>
      <c r="AU74" s="563"/>
      <c r="AV74" s="542"/>
      <c r="AW74" s="542"/>
      <c r="AX74" s="542"/>
      <c r="AY74" s="543"/>
      <c r="AZ74" s="547"/>
      <c r="BA74" s="548"/>
      <c r="BB74" s="548"/>
      <c r="BC74" s="548"/>
      <c r="BD74" s="548"/>
      <c r="BE74" s="549"/>
      <c r="BF74" s="551"/>
      <c r="BG74" s="542"/>
      <c r="BH74" s="542"/>
      <c r="BI74" s="542"/>
      <c r="BJ74" s="542"/>
      <c r="BK74" s="543"/>
      <c r="BL74" s="555"/>
      <c r="BM74" s="556"/>
      <c r="BN74" s="556"/>
      <c r="BO74" s="556"/>
      <c r="BP74" s="556"/>
      <c r="BQ74" s="556"/>
      <c r="BR74" s="556"/>
      <c r="BS74" s="556"/>
      <c r="BT74" s="557"/>
      <c r="BU74" s="555"/>
      <c r="BV74" s="556"/>
      <c r="BW74" s="556"/>
      <c r="BX74" s="556"/>
      <c r="BY74" s="556"/>
      <c r="BZ74" s="556"/>
      <c r="CA74" s="556"/>
      <c r="CB74" s="556"/>
      <c r="CC74" s="557"/>
      <c r="CD74" s="555"/>
      <c r="CE74" s="556"/>
      <c r="CF74" s="556"/>
      <c r="CG74" s="556"/>
      <c r="CH74" s="556"/>
      <c r="CI74" s="556"/>
      <c r="CJ74" s="556"/>
      <c r="CK74" s="556"/>
      <c r="CL74" s="557"/>
      <c r="CM74" s="555"/>
      <c r="CN74" s="556"/>
      <c r="CO74" s="556"/>
      <c r="CP74" s="556"/>
      <c r="CQ74" s="556"/>
      <c r="CR74" s="556"/>
      <c r="CS74" s="556"/>
      <c r="CT74" s="556"/>
      <c r="CU74" s="560"/>
    </row>
    <row r="75" spans="1:103" ht="21" customHeight="1" x14ac:dyDescent="0.25">
      <c r="A75" s="337" t="s">
        <v>246</v>
      </c>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525"/>
      <c r="AV75" s="511" t="s">
        <v>247</v>
      </c>
      <c r="AW75" s="340"/>
      <c r="AX75" s="340"/>
      <c r="AY75" s="340"/>
      <c r="AZ75" s="340" t="s">
        <v>50</v>
      </c>
      <c r="BA75" s="340"/>
      <c r="BB75" s="340"/>
      <c r="BC75" s="340"/>
      <c r="BD75" s="340"/>
      <c r="BE75" s="340"/>
      <c r="BF75" s="340" t="s">
        <v>490</v>
      </c>
      <c r="BG75" s="340"/>
      <c r="BH75" s="340"/>
      <c r="BI75" s="340"/>
      <c r="BJ75" s="340"/>
      <c r="BK75" s="340"/>
      <c r="BL75" s="341">
        <f>'5 (2025)'!E19+'4 (2025)'!F19+'4 (2025)'!F38+'4 (2025)'!F43+'4 (2025)'!F44+'4 (2025)'!F50+'ОСТАТКИ МЗ'!F45+'4 (2025)'!F22</f>
        <v>783335.73</v>
      </c>
      <c r="BM75" s="342"/>
      <c r="BN75" s="342"/>
      <c r="BO75" s="342"/>
      <c r="BP75" s="342"/>
      <c r="BQ75" s="342"/>
      <c r="BR75" s="342"/>
      <c r="BS75" s="342"/>
      <c r="BT75" s="342"/>
      <c r="BU75" s="341">
        <f>'5 (2026)'!E19+'4 (2026)'!F19+'4 (2026)'!F38+'4 (2026)'!F43+'4 (2026)'!F44+'4 (2026)'!F50+'4 (2026)'!F22</f>
        <v>783335.73</v>
      </c>
      <c r="BV75" s="342"/>
      <c r="BW75" s="342"/>
      <c r="BX75" s="342"/>
      <c r="BY75" s="342"/>
      <c r="BZ75" s="342"/>
      <c r="CA75" s="342"/>
      <c r="CB75" s="342"/>
      <c r="CC75" s="342"/>
      <c r="CD75" s="341">
        <f>'5 (2027)'!E19+'4 (2027)'!F19+'4 (2027)'!F38+'4 (2027)'!F43+'4 (2027)'!F44+'4 (2027)'!F50+'4 (2027)'!F22</f>
        <v>784965.48</v>
      </c>
      <c r="CE75" s="342"/>
      <c r="CF75" s="342"/>
      <c r="CG75" s="342"/>
      <c r="CH75" s="342"/>
      <c r="CI75" s="342"/>
      <c r="CJ75" s="342"/>
      <c r="CK75" s="342"/>
      <c r="CL75" s="342"/>
      <c r="CM75" s="342" t="s">
        <v>46</v>
      </c>
      <c r="CN75" s="342"/>
      <c r="CO75" s="342"/>
      <c r="CP75" s="342"/>
      <c r="CQ75" s="342"/>
      <c r="CR75" s="342"/>
      <c r="CS75" s="342"/>
      <c r="CT75" s="342"/>
      <c r="CU75" s="512"/>
    </row>
    <row r="76" spans="1:103" ht="15.75" x14ac:dyDescent="0.25">
      <c r="A76" s="458" t="s">
        <v>248</v>
      </c>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60"/>
      <c r="AV76" s="441" t="s">
        <v>249</v>
      </c>
      <c r="AW76" s="441"/>
      <c r="AX76" s="441"/>
      <c r="AY76" s="442"/>
      <c r="AZ76" s="443" t="s">
        <v>115</v>
      </c>
      <c r="BA76" s="441"/>
      <c r="BB76" s="441"/>
      <c r="BC76" s="441"/>
      <c r="BD76" s="441"/>
      <c r="BE76" s="442"/>
      <c r="BF76" s="443" t="s">
        <v>18</v>
      </c>
      <c r="BG76" s="441"/>
      <c r="BH76" s="441"/>
      <c r="BI76" s="441"/>
      <c r="BJ76" s="441"/>
      <c r="BK76" s="442"/>
      <c r="BL76" s="444">
        <f>'4 (2025)'!F39+'ОСТАТКИ МЗ'!F38</f>
        <v>0</v>
      </c>
      <c r="BM76" s="466"/>
      <c r="BN76" s="466"/>
      <c r="BO76" s="466"/>
      <c r="BP76" s="466"/>
      <c r="BQ76" s="466"/>
      <c r="BR76" s="466"/>
      <c r="BS76" s="466"/>
      <c r="BT76" s="467"/>
      <c r="BU76" s="444">
        <f>'4 (2026)'!F39</f>
        <v>0</v>
      </c>
      <c r="BV76" s="466"/>
      <c r="BW76" s="466"/>
      <c r="BX76" s="466"/>
      <c r="BY76" s="466"/>
      <c r="BZ76" s="466"/>
      <c r="CA76" s="466"/>
      <c r="CB76" s="466"/>
      <c r="CC76" s="467"/>
      <c r="CD76" s="444">
        <f>'4 (2027)'!F39</f>
        <v>0</v>
      </c>
      <c r="CE76" s="466"/>
      <c r="CF76" s="466"/>
      <c r="CG76" s="466"/>
      <c r="CH76" s="466"/>
      <c r="CI76" s="466"/>
      <c r="CJ76" s="466"/>
      <c r="CK76" s="466"/>
      <c r="CL76" s="467"/>
      <c r="CM76" s="504" t="s">
        <v>46</v>
      </c>
      <c r="CN76" s="466"/>
      <c r="CO76" s="466"/>
      <c r="CP76" s="466"/>
      <c r="CQ76" s="466"/>
      <c r="CR76" s="466"/>
      <c r="CS76" s="466"/>
      <c r="CT76" s="466"/>
      <c r="CU76" s="474"/>
    </row>
    <row r="77" spans="1:103" ht="15.75" x14ac:dyDescent="0.25">
      <c r="A77" s="477" t="s">
        <v>250</v>
      </c>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9"/>
      <c r="AV77" s="355"/>
      <c r="AW77" s="355"/>
      <c r="AX77" s="355"/>
      <c r="AY77" s="463"/>
      <c r="AZ77" s="465"/>
      <c r="BA77" s="355"/>
      <c r="BB77" s="355"/>
      <c r="BC77" s="355"/>
      <c r="BD77" s="355"/>
      <c r="BE77" s="463"/>
      <c r="BF77" s="465"/>
      <c r="BG77" s="355"/>
      <c r="BH77" s="355"/>
      <c r="BI77" s="355"/>
      <c r="BJ77" s="355"/>
      <c r="BK77" s="463"/>
      <c r="BL77" s="471"/>
      <c r="BM77" s="472"/>
      <c r="BN77" s="472"/>
      <c r="BO77" s="472"/>
      <c r="BP77" s="472"/>
      <c r="BQ77" s="472"/>
      <c r="BR77" s="472"/>
      <c r="BS77" s="472"/>
      <c r="BT77" s="473"/>
      <c r="BU77" s="471"/>
      <c r="BV77" s="472"/>
      <c r="BW77" s="472"/>
      <c r="BX77" s="472"/>
      <c r="BY77" s="472"/>
      <c r="BZ77" s="472"/>
      <c r="CA77" s="472"/>
      <c r="CB77" s="472"/>
      <c r="CC77" s="473"/>
      <c r="CD77" s="471"/>
      <c r="CE77" s="472"/>
      <c r="CF77" s="472"/>
      <c r="CG77" s="472"/>
      <c r="CH77" s="472"/>
      <c r="CI77" s="472"/>
      <c r="CJ77" s="472"/>
      <c r="CK77" s="472"/>
      <c r="CL77" s="473"/>
      <c r="CM77" s="471"/>
      <c r="CN77" s="472"/>
      <c r="CO77" s="472"/>
      <c r="CP77" s="472"/>
      <c r="CQ77" s="472"/>
      <c r="CR77" s="472"/>
      <c r="CS77" s="472"/>
      <c r="CT77" s="472"/>
      <c r="CU77" s="476"/>
    </row>
    <row r="78" spans="1:103" ht="15.75" x14ac:dyDescent="0.25">
      <c r="A78" s="480" t="s">
        <v>251</v>
      </c>
      <c r="B78" s="481"/>
      <c r="C78" s="481"/>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2"/>
      <c r="AV78" s="441" t="s">
        <v>252</v>
      </c>
      <c r="AW78" s="441"/>
      <c r="AX78" s="441"/>
      <c r="AY78" s="442"/>
      <c r="AZ78" s="443" t="s">
        <v>48</v>
      </c>
      <c r="BA78" s="441"/>
      <c r="BB78" s="441"/>
      <c r="BC78" s="441"/>
      <c r="BD78" s="441"/>
      <c r="BE78" s="442"/>
      <c r="BF78" s="443" t="s">
        <v>18</v>
      </c>
      <c r="BG78" s="441"/>
      <c r="BH78" s="441"/>
      <c r="BI78" s="441"/>
      <c r="BJ78" s="441"/>
      <c r="BK78" s="442"/>
      <c r="BL78" s="444">
        <f>BL80+BL82</f>
        <v>9210104.0199999996</v>
      </c>
      <c r="BM78" s="445"/>
      <c r="BN78" s="445"/>
      <c r="BO78" s="445"/>
      <c r="BP78" s="445"/>
      <c r="BQ78" s="445"/>
      <c r="BR78" s="445"/>
      <c r="BS78" s="445"/>
      <c r="BT78" s="446"/>
      <c r="BU78" s="444">
        <f t="shared" ref="BU78" si="10">BU80+BU82</f>
        <v>10298442.25</v>
      </c>
      <c r="BV78" s="445"/>
      <c r="BW78" s="445"/>
      <c r="BX78" s="445"/>
      <c r="BY78" s="445"/>
      <c r="BZ78" s="445"/>
      <c r="CA78" s="445"/>
      <c r="CB78" s="445"/>
      <c r="CC78" s="446"/>
      <c r="CD78" s="444">
        <f t="shared" ref="CD78" si="11">CD80+CD82</f>
        <v>10299734.25</v>
      </c>
      <c r="CE78" s="445"/>
      <c r="CF78" s="445"/>
      <c r="CG78" s="445"/>
      <c r="CH78" s="445"/>
      <c r="CI78" s="445"/>
      <c r="CJ78" s="445"/>
      <c r="CK78" s="445"/>
      <c r="CL78" s="446"/>
      <c r="CM78" s="504" t="s">
        <v>46</v>
      </c>
      <c r="CN78" s="466"/>
      <c r="CO78" s="466"/>
      <c r="CP78" s="466"/>
      <c r="CQ78" s="466"/>
      <c r="CR78" s="466"/>
      <c r="CS78" s="466"/>
      <c r="CT78" s="466"/>
      <c r="CU78" s="474"/>
    </row>
    <row r="79" spans="1:103" ht="15.75" x14ac:dyDescent="0.25">
      <c r="A79" s="477" t="s">
        <v>253</v>
      </c>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8"/>
      <c r="AQ79" s="478"/>
      <c r="AR79" s="478"/>
      <c r="AS79" s="478"/>
      <c r="AT79" s="478"/>
      <c r="AU79" s="479"/>
      <c r="AV79" s="355"/>
      <c r="AW79" s="355"/>
      <c r="AX79" s="355"/>
      <c r="AY79" s="463"/>
      <c r="AZ79" s="465"/>
      <c r="BA79" s="355"/>
      <c r="BB79" s="355"/>
      <c r="BC79" s="355"/>
      <c r="BD79" s="355"/>
      <c r="BE79" s="463"/>
      <c r="BF79" s="465"/>
      <c r="BG79" s="355"/>
      <c r="BH79" s="355"/>
      <c r="BI79" s="355"/>
      <c r="BJ79" s="355"/>
      <c r="BK79" s="463"/>
      <c r="BL79" s="564"/>
      <c r="BM79" s="565"/>
      <c r="BN79" s="565"/>
      <c r="BO79" s="565"/>
      <c r="BP79" s="565"/>
      <c r="BQ79" s="565"/>
      <c r="BR79" s="565"/>
      <c r="BS79" s="565"/>
      <c r="BT79" s="566"/>
      <c r="BU79" s="564"/>
      <c r="BV79" s="565"/>
      <c r="BW79" s="565"/>
      <c r="BX79" s="565"/>
      <c r="BY79" s="565"/>
      <c r="BZ79" s="565"/>
      <c r="CA79" s="565"/>
      <c r="CB79" s="565"/>
      <c r="CC79" s="566"/>
      <c r="CD79" s="564"/>
      <c r="CE79" s="565"/>
      <c r="CF79" s="565"/>
      <c r="CG79" s="565"/>
      <c r="CH79" s="565"/>
      <c r="CI79" s="565"/>
      <c r="CJ79" s="565"/>
      <c r="CK79" s="565"/>
      <c r="CL79" s="566"/>
      <c r="CM79" s="471"/>
      <c r="CN79" s="472"/>
      <c r="CO79" s="472"/>
      <c r="CP79" s="472"/>
      <c r="CQ79" s="472"/>
      <c r="CR79" s="472"/>
      <c r="CS79" s="472"/>
      <c r="CT79" s="472"/>
      <c r="CU79" s="476"/>
    </row>
    <row r="80" spans="1:103" ht="15.75" x14ac:dyDescent="0.25">
      <c r="A80" s="567" t="s">
        <v>2</v>
      </c>
      <c r="B80" s="568"/>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9"/>
      <c r="AV80" s="441" t="s">
        <v>254</v>
      </c>
      <c r="AW80" s="441"/>
      <c r="AX80" s="441"/>
      <c r="AY80" s="442"/>
      <c r="AZ80" s="443" t="s">
        <v>48</v>
      </c>
      <c r="BA80" s="441"/>
      <c r="BB80" s="441"/>
      <c r="BC80" s="441"/>
      <c r="BD80" s="441"/>
      <c r="BE80" s="442"/>
      <c r="BF80" s="443" t="s">
        <v>18</v>
      </c>
      <c r="BG80" s="441"/>
      <c r="BH80" s="441"/>
      <c r="BI80" s="441"/>
      <c r="BJ80" s="441"/>
      <c r="BK80" s="442"/>
      <c r="BL80" s="444">
        <f>'ОСТАТКИ МЗ'!F16+'4 (2025)'!F16+'5 (2025)'!H17+'5 (2025) ШСК+С'!F16+'5 (ТБ)'!F16</f>
        <v>9182840.75</v>
      </c>
      <c r="BM80" s="466"/>
      <c r="BN80" s="466"/>
      <c r="BO80" s="466"/>
      <c r="BP80" s="466"/>
      <c r="BQ80" s="466"/>
      <c r="BR80" s="466"/>
      <c r="BS80" s="466"/>
      <c r="BT80" s="467"/>
      <c r="BU80" s="444">
        <f>'4 (2026)'!F16+'5(2026) ШСК+С'!F16+'5 (2026)'!E17</f>
        <v>10271178.98</v>
      </c>
      <c r="BV80" s="466"/>
      <c r="BW80" s="466"/>
      <c r="BX80" s="466"/>
      <c r="BY80" s="466"/>
      <c r="BZ80" s="466"/>
      <c r="CA80" s="466"/>
      <c r="CB80" s="466"/>
      <c r="CC80" s="467"/>
      <c r="CD80" s="444">
        <f>'4 (2027)'!F16+'5(2027) ШСК+С'!F16+'5 (2027)'!E17</f>
        <v>10272470.98</v>
      </c>
      <c r="CE80" s="466"/>
      <c r="CF80" s="466"/>
      <c r="CG80" s="466"/>
      <c r="CH80" s="466"/>
      <c r="CI80" s="466"/>
      <c r="CJ80" s="466"/>
      <c r="CK80" s="466"/>
      <c r="CL80" s="467"/>
      <c r="CM80" s="504" t="s">
        <v>46</v>
      </c>
      <c r="CN80" s="466"/>
      <c r="CO80" s="466"/>
      <c r="CP80" s="466"/>
      <c r="CQ80" s="466"/>
      <c r="CR80" s="466"/>
      <c r="CS80" s="466"/>
      <c r="CT80" s="466"/>
      <c r="CU80" s="474"/>
    </row>
    <row r="81" spans="1:99" ht="15.75" x14ac:dyDescent="0.25">
      <c r="A81" s="570" t="s">
        <v>255</v>
      </c>
      <c r="B81" s="571"/>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2"/>
      <c r="AV81" s="355"/>
      <c r="AW81" s="355"/>
      <c r="AX81" s="355"/>
      <c r="AY81" s="463"/>
      <c r="AZ81" s="465"/>
      <c r="BA81" s="355"/>
      <c r="BB81" s="355"/>
      <c r="BC81" s="355"/>
      <c r="BD81" s="355"/>
      <c r="BE81" s="463"/>
      <c r="BF81" s="465"/>
      <c r="BG81" s="355"/>
      <c r="BH81" s="355"/>
      <c r="BI81" s="355"/>
      <c r="BJ81" s="355"/>
      <c r="BK81" s="463"/>
      <c r="BL81" s="471"/>
      <c r="BM81" s="472"/>
      <c r="BN81" s="472"/>
      <c r="BO81" s="472"/>
      <c r="BP81" s="472"/>
      <c r="BQ81" s="472"/>
      <c r="BR81" s="472"/>
      <c r="BS81" s="472"/>
      <c r="BT81" s="473"/>
      <c r="BU81" s="471"/>
      <c r="BV81" s="472"/>
      <c r="BW81" s="472"/>
      <c r="BX81" s="472"/>
      <c r="BY81" s="472"/>
      <c r="BZ81" s="472"/>
      <c r="CA81" s="472"/>
      <c r="CB81" s="472"/>
      <c r="CC81" s="473"/>
      <c r="CD81" s="471"/>
      <c r="CE81" s="472"/>
      <c r="CF81" s="472"/>
      <c r="CG81" s="472"/>
      <c r="CH81" s="472"/>
      <c r="CI81" s="472"/>
      <c r="CJ81" s="472"/>
      <c r="CK81" s="472"/>
      <c r="CL81" s="473"/>
      <c r="CM81" s="471"/>
      <c r="CN81" s="472"/>
      <c r="CO81" s="472"/>
      <c r="CP81" s="472"/>
      <c r="CQ81" s="472"/>
      <c r="CR81" s="472"/>
      <c r="CS81" s="472"/>
      <c r="CT81" s="472"/>
      <c r="CU81" s="476"/>
    </row>
    <row r="82" spans="1:99" ht="21" customHeight="1" x14ac:dyDescent="0.25">
      <c r="A82" s="579" t="s">
        <v>256</v>
      </c>
      <c r="B82" s="580"/>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1"/>
      <c r="AV82" s="573" t="s">
        <v>257</v>
      </c>
      <c r="AW82" s="574"/>
      <c r="AX82" s="574"/>
      <c r="AY82" s="574"/>
      <c r="AZ82" s="575" t="s">
        <v>48</v>
      </c>
      <c r="BA82" s="575"/>
      <c r="BB82" s="575"/>
      <c r="BC82" s="575"/>
      <c r="BD82" s="575"/>
      <c r="BE82" s="575"/>
      <c r="BF82" s="574" t="s">
        <v>632</v>
      </c>
      <c r="BG82" s="574"/>
      <c r="BH82" s="574"/>
      <c r="BI82" s="574"/>
      <c r="BJ82" s="574"/>
      <c r="BK82" s="574"/>
      <c r="BL82" s="576">
        <f>'4 (2025)'!F17+'4 (2025)'!F40+'5 (2025)'!E20</f>
        <v>27263.27</v>
      </c>
      <c r="BM82" s="577"/>
      <c r="BN82" s="577"/>
      <c r="BO82" s="577"/>
      <c r="BP82" s="577"/>
      <c r="BQ82" s="577"/>
      <c r="BR82" s="577"/>
      <c r="BS82" s="577"/>
      <c r="BT82" s="577"/>
      <c r="BU82" s="576">
        <f>'4 (2026)'!F17+'4 (2026)'!F40</f>
        <v>27263.27</v>
      </c>
      <c r="BV82" s="577"/>
      <c r="BW82" s="577"/>
      <c r="BX82" s="577"/>
      <c r="BY82" s="577"/>
      <c r="BZ82" s="577"/>
      <c r="CA82" s="577"/>
      <c r="CB82" s="577"/>
      <c r="CC82" s="577"/>
      <c r="CD82" s="576">
        <f>'4 (2027)'!F17+'4 (2027)'!F40</f>
        <v>27263.27</v>
      </c>
      <c r="CE82" s="577"/>
      <c r="CF82" s="577"/>
      <c r="CG82" s="577"/>
      <c r="CH82" s="577"/>
      <c r="CI82" s="577"/>
      <c r="CJ82" s="577"/>
      <c r="CK82" s="577"/>
      <c r="CL82" s="577"/>
      <c r="CM82" s="577" t="s">
        <v>46</v>
      </c>
      <c r="CN82" s="577"/>
      <c r="CO82" s="577"/>
      <c r="CP82" s="577"/>
      <c r="CQ82" s="577"/>
      <c r="CR82" s="577"/>
      <c r="CS82" s="577"/>
      <c r="CT82" s="577"/>
      <c r="CU82" s="578"/>
    </row>
    <row r="83" spans="1:99" ht="15.75" hidden="1" x14ac:dyDescent="0.25">
      <c r="A83" s="458" t="s">
        <v>258</v>
      </c>
      <c r="B83" s="459"/>
      <c r="C83" s="459"/>
      <c r="D83" s="459"/>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60"/>
      <c r="AV83" s="441" t="s">
        <v>259</v>
      </c>
      <c r="AW83" s="441"/>
      <c r="AX83" s="441"/>
      <c r="AY83" s="442"/>
      <c r="AZ83" s="443" t="s">
        <v>260</v>
      </c>
      <c r="BA83" s="441"/>
      <c r="BB83" s="441"/>
      <c r="BC83" s="441"/>
      <c r="BD83" s="441"/>
      <c r="BE83" s="442"/>
      <c r="BF83" s="443"/>
      <c r="BG83" s="441"/>
      <c r="BH83" s="441"/>
      <c r="BI83" s="441"/>
      <c r="BJ83" s="441"/>
      <c r="BK83" s="442"/>
      <c r="BL83" s="504"/>
      <c r="BM83" s="466"/>
      <c r="BN83" s="466"/>
      <c r="BO83" s="466"/>
      <c r="BP83" s="466"/>
      <c r="BQ83" s="466"/>
      <c r="BR83" s="466"/>
      <c r="BS83" s="466"/>
      <c r="BT83" s="467"/>
      <c r="BU83" s="504"/>
      <c r="BV83" s="466"/>
      <c r="BW83" s="466"/>
      <c r="BX83" s="466"/>
      <c r="BY83" s="466"/>
      <c r="BZ83" s="466"/>
      <c r="CA83" s="466"/>
      <c r="CB83" s="466"/>
      <c r="CC83" s="467"/>
      <c r="CD83" s="504"/>
      <c r="CE83" s="466"/>
      <c r="CF83" s="466"/>
      <c r="CG83" s="466"/>
      <c r="CH83" s="466"/>
      <c r="CI83" s="466"/>
      <c r="CJ83" s="466"/>
      <c r="CK83" s="466"/>
      <c r="CL83" s="467"/>
      <c r="CM83" s="504" t="s">
        <v>46</v>
      </c>
      <c r="CN83" s="466"/>
      <c r="CO83" s="466"/>
      <c r="CP83" s="466"/>
      <c r="CQ83" s="466"/>
      <c r="CR83" s="466"/>
      <c r="CS83" s="466"/>
      <c r="CT83" s="466"/>
      <c r="CU83" s="474"/>
    </row>
    <row r="84" spans="1:99" ht="15.75" hidden="1" x14ac:dyDescent="0.25">
      <c r="A84" s="477" t="s">
        <v>261</v>
      </c>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8"/>
      <c r="AP84" s="478"/>
      <c r="AQ84" s="478"/>
      <c r="AR84" s="478"/>
      <c r="AS84" s="478"/>
      <c r="AT84" s="478"/>
      <c r="AU84" s="479"/>
      <c r="AV84" s="355"/>
      <c r="AW84" s="355"/>
      <c r="AX84" s="355"/>
      <c r="AY84" s="463"/>
      <c r="AZ84" s="465"/>
      <c r="BA84" s="355"/>
      <c r="BB84" s="355"/>
      <c r="BC84" s="355"/>
      <c r="BD84" s="355"/>
      <c r="BE84" s="463"/>
      <c r="BF84" s="465"/>
      <c r="BG84" s="355"/>
      <c r="BH84" s="355"/>
      <c r="BI84" s="355"/>
      <c r="BJ84" s="355"/>
      <c r="BK84" s="463"/>
      <c r="BL84" s="471"/>
      <c r="BM84" s="472"/>
      <c r="BN84" s="472"/>
      <c r="BO84" s="472"/>
      <c r="BP84" s="472"/>
      <c r="BQ84" s="472"/>
      <c r="BR84" s="472"/>
      <c r="BS84" s="472"/>
      <c r="BT84" s="473"/>
      <c r="BU84" s="471"/>
      <c r="BV84" s="472"/>
      <c r="BW84" s="472"/>
      <c r="BX84" s="472"/>
      <c r="BY84" s="472"/>
      <c r="BZ84" s="472"/>
      <c r="CA84" s="472"/>
      <c r="CB84" s="472"/>
      <c r="CC84" s="473"/>
      <c r="CD84" s="471"/>
      <c r="CE84" s="472"/>
      <c r="CF84" s="472"/>
      <c r="CG84" s="472"/>
      <c r="CH84" s="472"/>
      <c r="CI84" s="472"/>
      <c r="CJ84" s="472"/>
      <c r="CK84" s="472"/>
      <c r="CL84" s="473"/>
      <c r="CM84" s="471"/>
      <c r="CN84" s="472"/>
      <c r="CO84" s="472"/>
      <c r="CP84" s="472"/>
      <c r="CQ84" s="472"/>
      <c r="CR84" s="472"/>
      <c r="CS84" s="472"/>
      <c r="CT84" s="472"/>
      <c r="CU84" s="476"/>
    </row>
    <row r="85" spans="1:99" ht="15.75" hidden="1" x14ac:dyDescent="0.25">
      <c r="A85" s="458" t="s">
        <v>262</v>
      </c>
      <c r="B85" s="459"/>
      <c r="C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60"/>
      <c r="AV85" s="441" t="s">
        <v>263</v>
      </c>
      <c r="AW85" s="441"/>
      <c r="AX85" s="441"/>
      <c r="AY85" s="442"/>
      <c r="AZ85" s="443" t="s">
        <v>264</v>
      </c>
      <c r="BA85" s="441"/>
      <c r="BB85" s="441"/>
      <c r="BC85" s="441"/>
      <c r="BD85" s="441"/>
      <c r="BE85" s="442"/>
      <c r="BF85" s="443"/>
      <c r="BG85" s="441"/>
      <c r="BH85" s="441"/>
      <c r="BI85" s="441"/>
      <c r="BJ85" s="441"/>
      <c r="BK85" s="442"/>
      <c r="BL85" s="504"/>
      <c r="BM85" s="466"/>
      <c r="BN85" s="466"/>
      <c r="BO85" s="466"/>
      <c r="BP85" s="466"/>
      <c r="BQ85" s="466"/>
      <c r="BR85" s="466"/>
      <c r="BS85" s="466"/>
      <c r="BT85" s="467"/>
      <c r="BU85" s="504"/>
      <c r="BV85" s="466"/>
      <c r="BW85" s="466"/>
      <c r="BX85" s="466"/>
      <c r="BY85" s="466"/>
      <c r="BZ85" s="466"/>
      <c r="CA85" s="466"/>
      <c r="CB85" s="466"/>
      <c r="CC85" s="467"/>
      <c r="CD85" s="504"/>
      <c r="CE85" s="466"/>
      <c r="CF85" s="466"/>
      <c r="CG85" s="466"/>
      <c r="CH85" s="466"/>
      <c r="CI85" s="466"/>
      <c r="CJ85" s="466"/>
      <c r="CK85" s="466"/>
      <c r="CL85" s="467"/>
      <c r="CM85" s="504" t="s">
        <v>46</v>
      </c>
      <c r="CN85" s="466"/>
      <c r="CO85" s="466"/>
      <c r="CP85" s="466"/>
      <c r="CQ85" s="466"/>
      <c r="CR85" s="466"/>
      <c r="CS85" s="466"/>
      <c r="CT85" s="466"/>
      <c r="CU85" s="474"/>
    </row>
    <row r="86" spans="1:99" ht="15.75" hidden="1" x14ac:dyDescent="0.25">
      <c r="A86" s="477" t="s">
        <v>261</v>
      </c>
      <c r="B86" s="478"/>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8"/>
      <c r="AQ86" s="478"/>
      <c r="AR86" s="478"/>
      <c r="AS86" s="478"/>
      <c r="AT86" s="478"/>
      <c r="AU86" s="479"/>
      <c r="AV86" s="355"/>
      <c r="AW86" s="355"/>
      <c r="AX86" s="355"/>
      <c r="AY86" s="463"/>
      <c r="AZ86" s="465"/>
      <c r="BA86" s="355"/>
      <c r="BB86" s="355"/>
      <c r="BC86" s="355"/>
      <c r="BD86" s="355"/>
      <c r="BE86" s="463"/>
      <c r="BF86" s="465"/>
      <c r="BG86" s="355"/>
      <c r="BH86" s="355"/>
      <c r="BI86" s="355"/>
      <c r="BJ86" s="355"/>
      <c r="BK86" s="463"/>
      <c r="BL86" s="471"/>
      <c r="BM86" s="472"/>
      <c r="BN86" s="472"/>
      <c r="BO86" s="472"/>
      <c r="BP86" s="472"/>
      <c r="BQ86" s="472"/>
      <c r="BR86" s="472"/>
      <c r="BS86" s="472"/>
      <c r="BT86" s="473"/>
      <c r="BU86" s="471"/>
      <c r="BV86" s="472"/>
      <c r="BW86" s="472"/>
      <c r="BX86" s="472"/>
      <c r="BY86" s="472"/>
      <c r="BZ86" s="472"/>
      <c r="CA86" s="472"/>
      <c r="CB86" s="472"/>
      <c r="CC86" s="473"/>
      <c r="CD86" s="471"/>
      <c r="CE86" s="472"/>
      <c r="CF86" s="472"/>
      <c r="CG86" s="472"/>
      <c r="CH86" s="472"/>
      <c r="CI86" s="472"/>
      <c r="CJ86" s="472"/>
      <c r="CK86" s="472"/>
      <c r="CL86" s="473"/>
      <c r="CM86" s="471"/>
      <c r="CN86" s="472"/>
      <c r="CO86" s="472"/>
      <c r="CP86" s="472"/>
      <c r="CQ86" s="472"/>
      <c r="CR86" s="472"/>
      <c r="CS86" s="472"/>
      <c r="CT86" s="472"/>
      <c r="CU86" s="476"/>
    </row>
    <row r="87" spans="1:99" ht="15.75" hidden="1" x14ac:dyDescent="0.25">
      <c r="A87" s="480" t="s">
        <v>265</v>
      </c>
      <c r="B87" s="481"/>
      <c r="C87" s="481"/>
      <c r="D87" s="481"/>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2"/>
      <c r="AV87" s="441" t="s">
        <v>266</v>
      </c>
      <c r="AW87" s="441"/>
      <c r="AX87" s="441"/>
      <c r="AY87" s="442"/>
      <c r="AZ87" s="443" t="s">
        <v>267</v>
      </c>
      <c r="BA87" s="441"/>
      <c r="BB87" s="441"/>
      <c r="BC87" s="441"/>
      <c r="BD87" s="441"/>
      <c r="BE87" s="442"/>
      <c r="BF87" s="443"/>
      <c r="BG87" s="441"/>
      <c r="BH87" s="441"/>
      <c r="BI87" s="441"/>
      <c r="BJ87" s="441"/>
      <c r="BK87" s="442"/>
      <c r="BL87" s="504"/>
      <c r="BM87" s="466"/>
      <c r="BN87" s="466"/>
      <c r="BO87" s="466"/>
      <c r="BP87" s="466"/>
      <c r="BQ87" s="466"/>
      <c r="BR87" s="466"/>
      <c r="BS87" s="466"/>
      <c r="BT87" s="467"/>
      <c r="BU87" s="504"/>
      <c r="BV87" s="466"/>
      <c r="BW87" s="466"/>
      <c r="BX87" s="466"/>
      <c r="BY87" s="466"/>
      <c r="BZ87" s="466"/>
      <c r="CA87" s="466"/>
      <c r="CB87" s="466"/>
      <c r="CC87" s="467"/>
      <c r="CD87" s="504"/>
      <c r="CE87" s="466"/>
      <c r="CF87" s="466"/>
      <c r="CG87" s="466"/>
      <c r="CH87" s="466"/>
      <c r="CI87" s="466"/>
      <c r="CJ87" s="466"/>
      <c r="CK87" s="466"/>
      <c r="CL87" s="467"/>
      <c r="CM87" s="504" t="s">
        <v>46</v>
      </c>
      <c r="CN87" s="466"/>
      <c r="CO87" s="466"/>
      <c r="CP87" s="466"/>
      <c r="CQ87" s="466"/>
      <c r="CR87" s="466"/>
      <c r="CS87" s="466"/>
      <c r="CT87" s="466"/>
      <c r="CU87" s="474"/>
    </row>
    <row r="88" spans="1:99" ht="15.75" hidden="1" x14ac:dyDescent="0.25">
      <c r="A88" s="477" t="s">
        <v>268</v>
      </c>
      <c r="B88" s="478"/>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c r="AJ88" s="478"/>
      <c r="AK88" s="478"/>
      <c r="AL88" s="478"/>
      <c r="AM88" s="478"/>
      <c r="AN88" s="478"/>
      <c r="AO88" s="478"/>
      <c r="AP88" s="478"/>
      <c r="AQ88" s="478"/>
      <c r="AR88" s="478"/>
      <c r="AS88" s="478"/>
      <c r="AT88" s="478"/>
      <c r="AU88" s="479"/>
      <c r="AV88" s="355"/>
      <c r="AW88" s="355"/>
      <c r="AX88" s="355"/>
      <c r="AY88" s="463"/>
      <c r="AZ88" s="465"/>
      <c r="BA88" s="355"/>
      <c r="BB88" s="355"/>
      <c r="BC88" s="355"/>
      <c r="BD88" s="355"/>
      <c r="BE88" s="463"/>
      <c r="BF88" s="465"/>
      <c r="BG88" s="355"/>
      <c r="BH88" s="355"/>
      <c r="BI88" s="355"/>
      <c r="BJ88" s="355"/>
      <c r="BK88" s="463"/>
      <c r="BL88" s="471"/>
      <c r="BM88" s="472"/>
      <c r="BN88" s="472"/>
      <c r="BO88" s="472"/>
      <c r="BP88" s="472"/>
      <c r="BQ88" s="472"/>
      <c r="BR88" s="472"/>
      <c r="BS88" s="472"/>
      <c r="BT88" s="473"/>
      <c r="BU88" s="471"/>
      <c r="BV88" s="472"/>
      <c r="BW88" s="472"/>
      <c r="BX88" s="472"/>
      <c r="BY88" s="472"/>
      <c r="BZ88" s="472"/>
      <c r="CA88" s="472"/>
      <c r="CB88" s="472"/>
      <c r="CC88" s="473"/>
      <c r="CD88" s="471"/>
      <c r="CE88" s="472"/>
      <c r="CF88" s="472"/>
      <c r="CG88" s="472"/>
      <c r="CH88" s="472"/>
      <c r="CI88" s="472"/>
      <c r="CJ88" s="472"/>
      <c r="CK88" s="472"/>
      <c r="CL88" s="473"/>
      <c r="CM88" s="471"/>
      <c r="CN88" s="472"/>
      <c r="CO88" s="472"/>
      <c r="CP88" s="472"/>
      <c r="CQ88" s="472"/>
      <c r="CR88" s="472"/>
      <c r="CS88" s="472"/>
      <c r="CT88" s="472"/>
      <c r="CU88" s="476"/>
    </row>
    <row r="89" spans="1:99" ht="15.75" hidden="1" x14ac:dyDescent="0.25">
      <c r="A89" s="567" t="s">
        <v>2</v>
      </c>
      <c r="B89" s="568"/>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68"/>
      <c r="AL89" s="568"/>
      <c r="AM89" s="568"/>
      <c r="AN89" s="568"/>
      <c r="AO89" s="568"/>
      <c r="AP89" s="568"/>
      <c r="AQ89" s="568"/>
      <c r="AR89" s="568"/>
      <c r="AS89" s="568"/>
      <c r="AT89" s="568"/>
      <c r="AU89" s="569"/>
      <c r="AV89" s="441" t="s">
        <v>269</v>
      </c>
      <c r="AW89" s="441"/>
      <c r="AX89" s="441"/>
      <c r="AY89" s="442"/>
      <c r="AZ89" s="443" t="s">
        <v>267</v>
      </c>
      <c r="BA89" s="441"/>
      <c r="BB89" s="441"/>
      <c r="BC89" s="441"/>
      <c r="BD89" s="441"/>
      <c r="BE89" s="442"/>
      <c r="BF89" s="443"/>
      <c r="BG89" s="441"/>
      <c r="BH89" s="441"/>
      <c r="BI89" s="441"/>
      <c r="BJ89" s="441"/>
      <c r="BK89" s="442"/>
      <c r="BL89" s="504"/>
      <c r="BM89" s="466"/>
      <c r="BN89" s="466"/>
      <c r="BO89" s="466"/>
      <c r="BP89" s="466"/>
      <c r="BQ89" s="466"/>
      <c r="BR89" s="466"/>
      <c r="BS89" s="466"/>
      <c r="BT89" s="467"/>
      <c r="BU89" s="504"/>
      <c r="BV89" s="466"/>
      <c r="BW89" s="466"/>
      <c r="BX89" s="466"/>
      <c r="BY89" s="466"/>
      <c r="BZ89" s="466"/>
      <c r="CA89" s="466"/>
      <c r="CB89" s="466"/>
      <c r="CC89" s="467"/>
      <c r="CD89" s="504"/>
      <c r="CE89" s="466"/>
      <c r="CF89" s="466"/>
      <c r="CG89" s="466"/>
      <c r="CH89" s="466"/>
      <c r="CI89" s="466"/>
      <c r="CJ89" s="466"/>
      <c r="CK89" s="466"/>
      <c r="CL89" s="467"/>
      <c r="CM89" s="504" t="s">
        <v>46</v>
      </c>
      <c r="CN89" s="466"/>
      <c r="CO89" s="466"/>
      <c r="CP89" s="466"/>
      <c r="CQ89" s="466"/>
      <c r="CR89" s="466"/>
      <c r="CS89" s="466"/>
      <c r="CT89" s="466"/>
      <c r="CU89" s="474"/>
    </row>
    <row r="90" spans="1:99" ht="15.75" hidden="1" x14ac:dyDescent="0.25">
      <c r="A90" s="570" t="s">
        <v>270</v>
      </c>
      <c r="B90" s="571"/>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1"/>
      <c r="AL90" s="571"/>
      <c r="AM90" s="571"/>
      <c r="AN90" s="571"/>
      <c r="AO90" s="571"/>
      <c r="AP90" s="571"/>
      <c r="AQ90" s="571"/>
      <c r="AR90" s="571"/>
      <c r="AS90" s="571"/>
      <c r="AT90" s="571"/>
      <c r="AU90" s="572"/>
      <c r="AV90" s="355"/>
      <c r="AW90" s="355"/>
      <c r="AX90" s="355"/>
      <c r="AY90" s="463"/>
      <c r="AZ90" s="465"/>
      <c r="BA90" s="355"/>
      <c r="BB90" s="355"/>
      <c r="BC90" s="355"/>
      <c r="BD90" s="355"/>
      <c r="BE90" s="463"/>
      <c r="BF90" s="465"/>
      <c r="BG90" s="355"/>
      <c r="BH90" s="355"/>
      <c r="BI90" s="355"/>
      <c r="BJ90" s="355"/>
      <c r="BK90" s="463"/>
      <c r="BL90" s="471"/>
      <c r="BM90" s="472"/>
      <c r="BN90" s="472"/>
      <c r="BO90" s="472"/>
      <c r="BP90" s="472"/>
      <c r="BQ90" s="472"/>
      <c r="BR90" s="472"/>
      <c r="BS90" s="472"/>
      <c r="BT90" s="473"/>
      <c r="BU90" s="471"/>
      <c r="BV90" s="472"/>
      <c r="BW90" s="472"/>
      <c r="BX90" s="472"/>
      <c r="BY90" s="472"/>
      <c r="BZ90" s="472"/>
      <c r="CA90" s="472"/>
      <c r="CB90" s="472"/>
      <c r="CC90" s="473"/>
      <c r="CD90" s="471"/>
      <c r="CE90" s="472"/>
      <c r="CF90" s="472"/>
      <c r="CG90" s="472"/>
      <c r="CH90" s="472"/>
      <c r="CI90" s="472"/>
      <c r="CJ90" s="472"/>
      <c r="CK90" s="472"/>
      <c r="CL90" s="473"/>
      <c r="CM90" s="471"/>
      <c r="CN90" s="472"/>
      <c r="CO90" s="472"/>
      <c r="CP90" s="472"/>
      <c r="CQ90" s="472"/>
      <c r="CR90" s="472"/>
      <c r="CS90" s="472"/>
      <c r="CT90" s="472"/>
      <c r="CU90" s="476"/>
    </row>
    <row r="91" spans="1:99" ht="13.5" hidden="1" customHeight="1" x14ac:dyDescent="0.25">
      <c r="A91" s="582" t="s">
        <v>271</v>
      </c>
      <c r="B91" s="583"/>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4"/>
      <c r="AV91" s="511" t="s">
        <v>272</v>
      </c>
      <c r="AW91" s="340"/>
      <c r="AX91" s="340"/>
      <c r="AY91" s="340"/>
      <c r="AZ91" s="340" t="s">
        <v>267</v>
      </c>
      <c r="BA91" s="340"/>
      <c r="BB91" s="340"/>
      <c r="BC91" s="340"/>
      <c r="BD91" s="340"/>
      <c r="BE91" s="340"/>
      <c r="BF91" s="340"/>
      <c r="BG91" s="340"/>
      <c r="BH91" s="340"/>
      <c r="BI91" s="340"/>
      <c r="BJ91" s="340"/>
      <c r="BK91" s="340"/>
      <c r="BL91" s="342"/>
      <c r="BM91" s="342"/>
      <c r="BN91" s="342"/>
      <c r="BO91" s="342"/>
      <c r="BP91" s="342"/>
      <c r="BQ91" s="342"/>
      <c r="BR91" s="342"/>
      <c r="BS91" s="342"/>
      <c r="BT91" s="342"/>
      <c r="BU91" s="342"/>
      <c r="BV91" s="342"/>
      <c r="BW91" s="342"/>
      <c r="BX91" s="342"/>
      <c r="BY91" s="342"/>
      <c r="BZ91" s="342"/>
      <c r="CA91" s="342"/>
      <c r="CB91" s="342"/>
      <c r="CC91" s="342"/>
      <c r="CD91" s="342"/>
      <c r="CE91" s="342"/>
      <c r="CF91" s="342"/>
      <c r="CG91" s="342"/>
      <c r="CH91" s="342"/>
      <c r="CI91" s="342"/>
      <c r="CJ91" s="342"/>
      <c r="CK91" s="342"/>
      <c r="CL91" s="342"/>
      <c r="CM91" s="342" t="s">
        <v>46</v>
      </c>
      <c r="CN91" s="342"/>
      <c r="CO91" s="342"/>
      <c r="CP91" s="342"/>
      <c r="CQ91" s="342"/>
      <c r="CR91" s="342"/>
      <c r="CS91" s="342"/>
      <c r="CT91" s="342"/>
      <c r="CU91" s="512"/>
    </row>
    <row r="92" spans="1:99" ht="21" customHeight="1" x14ac:dyDescent="0.25">
      <c r="A92" s="489" t="s">
        <v>273</v>
      </c>
      <c r="B92" s="490"/>
      <c r="C92" s="490"/>
      <c r="D92" s="490"/>
      <c r="E92" s="490"/>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90"/>
      <c r="AM92" s="490"/>
      <c r="AN92" s="490"/>
      <c r="AO92" s="490"/>
      <c r="AP92" s="490"/>
      <c r="AQ92" s="490"/>
      <c r="AR92" s="490"/>
      <c r="AS92" s="490"/>
      <c r="AT92" s="490"/>
      <c r="AU92" s="491"/>
      <c r="AV92" s="492" t="s">
        <v>274</v>
      </c>
      <c r="AW92" s="493"/>
      <c r="AX92" s="493"/>
      <c r="AY92" s="493"/>
      <c r="AZ92" s="493" t="s">
        <v>275</v>
      </c>
      <c r="BA92" s="493"/>
      <c r="BB92" s="493"/>
      <c r="BC92" s="493"/>
      <c r="BD92" s="493"/>
      <c r="BE92" s="493"/>
      <c r="BF92" s="493"/>
      <c r="BG92" s="493"/>
      <c r="BH92" s="493"/>
      <c r="BI92" s="493"/>
      <c r="BJ92" s="493"/>
      <c r="BK92" s="493"/>
      <c r="BL92" s="503">
        <f>BL93+BL96</f>
        <v>0</v>
      </c>
      <c r="BM92" s="494"/>
      <c r="BN92" s="494"/>
      <c r="BO92" s="494"/>
      <c r="BP92" s="494"/>
      <c r="BQ92" s="494"/>
      <c r="BR92" s="494"/>
      <c r="BS92" s="494"/>
      <c r="BT92" s="494"/>
      <c r="BU92" s="503">
        <f t="shared" ref="BU92" si="12">BU93+BU96</f>
        <v>0</v>
      </c>
      <c r="BV92" s="494"/>
      <c r="BW92" s="494"/>
      <c r="BX92" s="494"/>
      <c r="BY92" s="494"/>
      <c r="BZ92" s="494"/>
      <c r="CA92" s="494"/>
      <c r="CB92" s="494"/>
      <c r="CC92" s="494"/>
      <c r="CD92" s="503">
        <f t="shared" ref="CD92" si="13">CD93+CD96</f>
        <v>0</v>
      </c>
      <c r="CE92" s="494"/>
      <c r="CF92" s="494"/>
      <c r="CG92" s="494"/>
      <c r="CH92" s="494"/>
      <c r="CI92" s="494"/>
      <c r="CJ92" s="494"/>
      <c r="CK92" s="494"/>
      <c r="CL92" s="494"/>
      <c r="CM92" s="494" t="s">
        <v>46</v>
      </c>
      <c r="CN92" s="494"/>
      <c r="CO92" s="494"/>
      <c r="CP92" s="494"/>
      <c r="CQ92" s="494"/>
      <c r="CR92" s="494"/>
      <c r="CS92" s="494"/>
      <c r="CT92" s="494"/>
      <c r="CU92" s="495"/>
    </row>
    <row r="93" spans="1:99" ht="15.75" x14ac:dyDescent="0.25">
      <c r="A93" s="458" t="s">
        <v>2</v>
      </c>
      <c r="B93" s="459"/>
      <c r="C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60"/>
      <c r="AV93" s="441" t="s">
        <v>276</v>
      </c>
      <c r="AW93" s="441"/>
      <c r="AX93" s="441"/>
      <c r="AY93" s="442"/>
      <c r="AZ93" s="443" t="s">
        <v>277</v>
      </c>
      <c r="BA93" s="441"/>
      <c r="BB93" s="441"/>
      <c r="BC93" s="441"/>
      <c r="BD93" s="441"/>
      <c r="BE93" s="442"/>
      <c r="BF93" s="443"/>
      <c r="BG93" s="441"/>
      <c r="BH93" s="441"/>
      <c r="BI93" s="441"/>
      <c r="BJ93" s="441"/>
      <c r="BK93" s="442"/>
      <c r="BL93" s="444"/>
      <c r="BM93" s="466"/>
      <c r="BN93" s="466"/>
      <c r="BO93" s="466"/>
      <c r="BP93" s="466"/>
      <c r="BQ93" s="466"/>
      <c r="BR93" s="466"/>
      <c r="BS93" s="466"/>
      <c r="BT93" s="467"/>
      <c r="BU93" s="444"/>
      <c r="BV93" s="466"/>
      <c r="BW93" s="466"/>
      <c r="BX93" s="466"/>
      <c r="BY93" s="466"/>
      <c r="BZ93" s="466"/>
      <c r="CA93" s="466"/>
      <c r="CB93" s="466"/>
      <c r="CC93" s="467"/>
      <c r="CD93" s="444"/>
      <c r="CE93" s="466"/>
      <c r="CF93" s="466"/>
      <c r="CG93" s="466"/>
      <c r="CH93" s="466"/>
      <c r="CI93" s="466"/>
      <c r="CJ93" s="466"/>
      <c r="CK93" s="466"/>
      <c r="CL93" s="467"/>
      <c r="CM93" s="504" t="s">
        <v>46</v>
      </c>
      <c r="CN93" s="466"/>
      <c r="CO93" s="466"/>
      <c r="CP93" s="466"/>
      <c r="CQ93" s="466"/>
      <c r="CR93" s="466"/>
      <c r="CS93" s="466"/>
      <c r="CT93" s="466"/>
      <c r="CU93" s="474"/>
    </row>
    <row r="94" spans="1:99" ht="15.75" x14ac:dyDescent="0.25">
      <c r="A94" s="438" t="s">
        <v>278</v>
      </c>
      <c r="B94" s="439"/>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40"/>
      <c r="AV94" s="461"/>
      <c r="AW94" s="461"/>
      <c r="AX94" s="461"/>
      <c r="AY94" s="462"/>
      <c r="AZ94" s="464"/>
      <c r="BA94" s="461"/>
      <c r="BB94" s="461"/>
      <c r="BC94" s="461"/>
      <c r="BD94" s="461"/>
      <c r="BE94" s="462"/>
      <c r="BF94" s="464"/>
      <c r="BG94" s="461"/>
      <c r="BH94" s="461"/>
      <c r="BI94" s="461"/>
      <c r="BJ94" s="461"/>
      <c r="BK94" s="462"/>
      <c r="BL94" s="468"/>
      <c r="BM94" s="469"/>
      <c r="BN94" s="469"/>
      <c r="BO94" s="469"/>
      <c r="BP94" s="469"/>
      <c r="BQ94" s="469"/>
      <c r="BR94" s="469"/>
      <c r="BS94" s="469"/>
      <c r="BT94" s="470"/>
      <c r="BU94" s="468"/>
      <c r="BV94" s="469"/>
      <c r="BW94" s="469"/>
      <c r="BX94" s="469"/>
      <c r="BY94" s="469"/>
      <c r="BZ94" s="469"/>
      <c r="CA94" s="469"/>
      <c r="CB94" s="469"/>
      <c r="CC94" s="470"/>
      <c r="CD94" s="468"/>
      <c r="CE94" s="469"/>
      <c r="CF94" s="469"/>
      <c r="CG94" s="469"/>
      <c r="CH94" s="469"/>
      <c r="CI94" s="469"/>
      <c r="CJ94" s="469"/>
      <c r="CK94" s="469"/>
      <c r="CL94" s="470"/>
      <c r="CM94" s="468"/>
      <c r="CN94" s="469"/>
      <c r="CO94" s="469"/>
      <c r="CP94" s="469"/>
      <c r="CQ94" s="469"/>
      <c r="CR94" s="469"/>
      <c r="CS94" s="469"/>
      <c r="CT94" s="469"/>
      <c r="CU94" s="475"/>
    </row>
    <row r="95" spans="1:99" ht="15.75" x14ac:dyDescent="0.25">
      <c r="A95" s="477" t="s">
        <v>279</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9"/>
      <c r="AV95" s="355"/>
      <c r="AW95" s="355"/>
      <c r="AX95" s="355"/>
      <c r="AY95" s="463"/>
      <c r="AZ95" s="465"/>
      <c r="BA95" s="355"/>
      <c r="BB95" s="355"/>
      <c r="BC95" s="355"/>
      <c r="BD95" s="355"/>
      <c r="BE95" s="463"/>
      <c r="BF95" s="465"/>
      <c r="BG95" s="355"/>
      <c r="BH95" s="355"/>
      <c r="BI95" s="355"/>
      <c r="BJ95" s="355"/>
      <c r="BK95" s="463"/>
      <c r="BL95" s="471"/>
      <c r="BM95" s="472"/>
      <c r="BN95" s="472"/>
      <c r="BO95" s="472"/>
      <c r="BP95" s="472"/>
      <c r="BQ95" s="472"/>
      <c r="BR95" s="472"/>
      <c r="BS95" s="472"/>
      <c r="BT95" s="473"/>
      <c r="BU95" s="471"/>
      <c r="BV95" s="472"/>
      <c r="BW95" s="472"/>
      <c r="BX95" s="472"/>
      <c r="BY95" s="472"/>
      <c r="BZ95" s="472"/>
      <c r="CA95" s="472"/>
      <c r="CB95" s="472"/>
      <c r="CC95" s="473"/>
      <c r="CD95" s="471"/>
      <c r="CE95" s="472"/>
      <c r="CF95" s="472"/>
      <c r="CG95" s="472"/>
      <c r="CH95" s="472"/>
      <c r="CI95" s="472"/>
      <c r="CJ95" s="472"/>
      <c r="CK95" s="472"/>
      <c r="CL95" s="473"/>
      <c r="CM95" s="471"/>
      <c r="CN95" s="472"/>
      <c r="CO95" s="472"/>
      <c r="CP95" s="472"/>
      <c r="CQ95" s="472"/>
      <c r="CR95" s="472"/>
      <c r="CS95" s="472"/>
      <c r="CT95" s="472"/>
      <c r="CU95" s="476"/>
    </row>
    <row r="96" spans="1:99" ht="15.75" x14ac:dyDescent="0.25">
      <c r="A96" s="567" t="s">
        <v>4</v>
      </c>
      <c r="B96" s="568"/>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9"/>
      <c r="AV96" s="441" t="s">
        <v>280</v>
      </c>
      <c r="AW96" s="441"/>
      <c r="AX96" s="441"/>
      <c r="AY96" s="442"/>
      <c r="AZ96" s="443" t="s">
        <v>281</v>
      </c>
      <c r="BA96" s="441"/>
      <c r="BB96" s="441"/>
      <c r="BC96" s="441"/>
      <c r="BD96" s="441"/>
      <c r="BE96" s="442"/>
      <c r="BF96" s="443" t="s">
        <v>501</v>
      </c>
      <c r="BG96" s="441"/>
      <c r="BH96" s="441"/>
      <c r="BI96" s="441"/>
      <c r="BJ96" s="441"/>
      <c r="BK96" s="442"/>
      <c r="BL96" s="444">
        <f>'4 (2025)'!F46</f>
        <v>0</v>
      </c>
      <c r="BM96" s="466"/>
      <c r="BN96" s="466"/>
      <c r="BO96" s="466"/>
      <c r="BP96" s="466"/>
      <c r="BQ96" s="466"/>
      <c r="BR96" s="466"/>
      <c r="BS96" s="466"/>
      <c r="BT96" s="467"/>
      <c r="BU96" s="504">
        <v>0</v>
      </c>
      <c r="BV96" s="466"/>
      <c r="BW96" s="466"/>
      <c r="BX96" s="466"/>
      <c r="BY96" s="466"/>
      <c r="BZ96" s="466"/>
      <c r="CA96" s="466"/>
      <c r="CB96" s="466"/>
      <c r="CC96" s="467"/>
      <c r="CD96" s="504">
        <v>0</v>
      </c>
      <c r="CE96" s="466"/>
      <c r="CF96" s="466"/>
      <c r="CG96" s="466"/>
      <c r="CH96" s="466"/>
      <c r="CI96" s="466"/>
      <c r="CJ96" s="466"/>
      <c r="CK96" s="466"/>
      <c r="CL96" s="467"/>
      <c r="CM96" s="504" t="s">
        <v>46</v>
      </c>
      <c r="CN96" s="466"/>
      <c r="CO96" s="466"/>
      <c r="CP96" s="466"/>
      <c r="CQ96" s="466"/>
      <c r="CR96" s="466"/>
      <c r="CS96" s="466"/>
      <c r="CT96" s="466"/>
      <c r="CU96" s="474"/>
    </row>
    <row r="97" spans="1:99" ht="15.75" x14ac:dyDescent="0.25">
      <c r="A97" s="585" t="s">
        <v>282</v>
      </c>
      <c r="B97" s="586"/>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c r="AO97" s="586"/>
      <c r="AP97" s="586"/>
      <c r="AQ97" s="586"/>
      <c r="AR97" s="586"/>
      <c r="AS97" s="586"/>
      <c r="AT97" s="586"/>
      <c r="AU97" s="587"/>
      <c r="AV97" s="461"/>
      <c r="AW97" s="461"/>
      <c r="AX97" s="461"/>
      <c r="AY97" s="462"/>
      <c r="AZ97" s="464"/>
      <c r="BA97" s="461"/>
      <c r="BB97" s="461"/>
      <c r="BC97" s="461"/>
      <c r="BD97" s="461"/>
      <c r="BE97" s="462"/>
      <c r="BF97" s="464"/>
      <c r="BG97" s="461"/>
      <c r="BH97" s="461"/>
      <c r="BI97" s="461"/>
      <c r="BJ97" s="461"/>
      <c r="BK97" s="462"/>
      <c r="BL97" s="468"/>
      <c r="BM97" s="469"/>
      <c r="BN97" s="469"/>
      <c r="BO97" s="469"/>
      <c r="BP97" s="469"/>
      <c r="BQ97" s="469"/>
      <c r="BR97" s="469"/>
      <c r="BS97" s="469"/>
      <c r="BT97" s="470"/>
      <c r="BU97" s="468"/>
      <c r="BV97" s="469"/>
      <c r="BW97" s="469"/>
      <c r="BX97" s="469"/>
      <c r="BY97" s="469"/>
      <c r="BZ97" s="469"/>
      <c r="CA97" s="469"/>
      <c r="CB97" s="469"/>
      <c r="CC97" s="470"/>
      <c r="CD97" s="468"/>
      <c r="CE97" s="469"/>
      <c r="CF97" s="469"/>
      <c r="CG97" s="469"/>
      <c r="CH97" s="469"/>
      <c r="CI97" s="469"/>
      <c r="CJ97" s="469"/>
      <c r="CK97" s="469"/>
      <c r="CL97" s="470"/>
      <c r="CM97" s="468"/>
      <c r="CN97" s="469"/>
      <c r="CO97" s="469"/>
      <c r="CP97" s="469"/>
      <c r="CQ97" s="469"/>
      <c r="CR97" s="469"/>
      <c r="CS97" s="469"/>
      <c r="CT97" s="469"/>
      <c r="CU97" s="475"/>
    </row>
    <row r="98" spans="1:99" ht="15.75" x14ac:dyDescent="0.25">
      <c r="A98" s="570" t="s">
        <v>283</v>
      </c>
      <c r="B98" s="571"/>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1"/>
      <c r="AL98" s="571"/>
      <c r="AM98" s="571"/>
      <c r="AN98" s="571"/>
      <c r="AO98" s="571"/>
      <c r="AP98" s="571"/>
      <c r="AQ98" s="571"/>
      <c r="AR98" s="571"/>
      <c r="AS98" s="571"/>
      <c r="AT98" s="571"/>
      <c r="AU98" s="572"/>
      <c r="AV98" s="355"/>
      <c r="AW98" s="355"/>
      <c r="AX98" s="355"/>
      <c r="AY98" s="463"/>
      <c r="AZ98" s="465"/>
      <c r="BA98" s="355"/>
      <c r="BB98" s="355"/>
      <c r="BC98" s="355"/>
      <c r="BD98" s="355"/>
      <c r="BE98" s="463"/>
      <c r="BF98" s="465"/>
      <c r="BG98" s="355"/>
      <c r="BH98" s="355"/>
      <c r="BI98" s="355"/>
      <c r="BJ98" s="355"/>
      <c r="BK98" s="463"/>
      <c r="BL98" s="471"/>
      <c r="BM98" s="472"/>
      <c r="BN98" s="472"/>
      <c r="BO98" s="472"/>
      <c r="BP98" s="472"/>
      <c r="BQ98" s="472"/>
      <c r="BR98" s="472"/>
      <c r="BS98" s="472"/>
      <c r="BT98" s="473"/>
      <c r="BU98" s="471"/>
      <c r="BV98" s="472"/>
      <c r="BW98" s="472"/>
      <c r="BX98" s="472"/>
      <c r="BY98" s="472"/>
      <c r="BZ98" s="472"/>
      <c r="CA98" s="472"/>
      <c r="CB98" s="472"/>
      <c r="CC98" s="473"/>
      <c r="CD98" s="471"/>
      <c r="CE98" s="472"/>
      <c r="CF98" s="472"/>
      <c r="CG98" s="472"/>
      <c r="CH98" s="472"/>
      <c r="CI98" s="472"/>
      <c r="CJ98" s="472"/>
      <c r="CK98" s="472"/>
      <c r="CL98" s="473"/>
      <c r="CM98" s="471"/>
      <c r="CN98" s="472"/>
      <c r="CO98" s="472"/>
      <c r="CP98" s="472"/>
      <c r="CQ98" s="472"/>
      <c r="CR98" s="472"/>
      <c r="CS98" s="472"/>
      <c r="CT98" s="472"/>
      <c r="CU98" s="476"/>
    </row>
    <row r="99" spans="1:99" ht="15.75" x14ac:dyDescent="0.25">
      <c r="A99" s="458" t="s">
        <v>284</v>
      </c>
      <c r="B99" s="459"/>
      <c r="C99" s="459"/>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60"/>
      <c r="AV99" s="441" t="s">
        <v>285</v>
      </c>
      <c r="AW99" s="441"/>
      <c r="AX99" s="441"/>
      <c r="AY99" s="442"/>
      <c r="AZ99" s="443" t="s">
        <v>26</v>
      </c>
      <c r="BA99" s="441"/>
      <c r="BB99" s="441"/>
      <c r="BC99" s="441"/>
      <c r="BD99" s="441"/>
      <c r="BE99" s="442"/>
      <c r="BF99" s="443"/>
      <c r="BG99" s="441"/>
      <c r="BH99" s="441"/>
      <c r="BI99" s="441"/>
      <c r="BJ99" s="441"/>
      <c r="BK99" s="442"/>
      <c r="BL99" s="504"/>
      <c r="BM99" s="466"/>
      <c r="BN99" s="466"/>
      <c r="BO99" s="466"/>
      <c r="BP99" s="466"/>
      <c r="BQ99" s="466"/>
      <c r="BR99" s="466"/>
      <c r="BS99" s="466"/>
      <c r="BT99" s="467"/>
      <c r="BU99" s="504"/>
      <c r="BV99" s="466"/>
      <c r="BW99" s="466"/>
      <c r="BX99" s="466"/>
      <c r="BY99" s="466"/>
      <c r="BZ99" s="466"/>
      <c r="CA99" s="466"/>
      <c r="CB99" s="466"/>
      <c r="CC99" s="467"/>
      <c r="CD99" s="504"/>
      <c r="CE99" s="466"/>
      <c r="CF99" s="466"/>
      <c r="CG99" s="466"/>
      <c r="CH99" s="466"/>
      <c r="CI99" s="466"/>
      <c r="CJ99" s="466"/>
      <c r="CK99" s="466"/>
      <c r="CL99" s="467"/>
      <c r="CM99" s="504" t="s">
        <v>46</v>
      </c>
      <c r="CN99" s="466"/>
      <c r="CO99" s="466"/>
      <c r="CP99" s="466"/>
      <c r="CQ99" s="466"/>
      <c r="CR99" s="466"/>
      <c r="CS99" s="466"/>
      <c r="CT99" s="466"/>
      <c r="CU99" s="474"/>
    </row>
    <row r="100" spans="1:99" ht="15.75" x14ac:dyDescent="0.25">
      <c r="A100" s="477" t="s">
        <v>286</v>
      </c>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478"/>
      <c r="AL100" s="478"/>
      <c r="AM100" s="478"/>
      <c r="AN100" s="478"/>
      <c r="AO100" s="478"/>
      <c r="AP100" s="478"/>
      <c r="AQ100" s="478"/>
      <c r="AR100" s="478"/>
      <c r="AS100" s="478"/>
      <c r="AT100" s="478"/>
      <c r="AU100" s="479"/>
      <c r="AV100" s="355"/>
      <c r="AW100" s="355"/>
      <c r="AX100" s="355"/>
      <c r="AY100" s="463"/>
      <c r="AZ100" s="465"/>
      <c r="BA100" s="355"/>
      <c r="BB100" s="355"/>
      <c r="BC100" s="355"/>
      <c r="BD100" s="355"/>
      <c r="BE100" s="463"/>
      <c r="BF100" s="465"/>
      <c r="BG100" s="355"/>
      <c r="BH100" s="355"/>
      <c r="BI100" s="355"/>
      <c r="BJ100" s="355"/>
      <c r="BK100" s="463"/>
      <c r="BL100" s="471"/>
      <c r="BM100" s="472"/>
      <c r="BN100" s="472"/>
      <c r="BO100" s="472"/>
      <c r="BP100" s="472"/>
      <c r="BQ100" s="472"/>
      <c r="BR100" s="472"/>
      <c r="BS100" s="472"/>
      <c r="BT100" s="473"/>
      <c r="BU100" s="471"/>
      <c r="BV100" s="472"/>
      <c r="BW100" s="472"/>
      <c r="BX100" s="472"/>
      <c r="BY100" s="472"/>
      <c r="BZ100" s="472"/>
      <c r="CA100" s="472"/>
      <c r="CB100" s="472"/>
      <c r="CC100" s="473"/>
      <c r="CD100" s="471"/>
      <c r="CE100" s="472"/>
      <c r="CF100" s="472"/>
      <c r="CG100" s="472"/>
      <c r="CH100" s="472"/>
      <c r="CI100" s="472"/>
      <c r="CJ100" s="472"/>
      <c r="CK100" s="472"/>
      <c r="CL100" s="473"/>
      <c r="CM100" s="471"/>
      <c r="CN100" s="472"/>
      <c r="CO100" s="472"/>
      <c r="CP100" s="472"/>
      <c r="CQ100" s="472"/>
      <c r="CR100" s="472"/>
      <c r="CS100" s="472"/>
      <c r="CT100" s="472"/>
      <c r="CU100" s="476"/>
    </row>
    <row r="101" spans="1:99" ht="15.75" x14ac:dyDescent="0.25">
      <c r="A101" s="480" t="s">
        <v>287</v>
      </c>
      <c r="B101" s="481"/>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AR101" s="481"/>
      <c r="AS101" s="481"/>
      <c r="AT101" s="481"/>
      <c r="AU101" s="482"/>
      <c r="AV101" s="441" t="s">
        <v>288</v>
      </c>
      <c r="AW101" s="441"/>
      <c r="AX101" s="441"/>
      <c r="AY101" s="442"/>
      <c r="AZ101" s="443" t="s">
        <v>289</v>
      </c>
      <c r="BA101" s="441"/>
      <c r="BB101" s="441"/>
      <c r="BC101" s="441"/>
      <c r="BD101" s="441"/>
      <c r="BE101" s="442"/>
      <c r="BF101" s="443"/>
      <c r="BG101" s="441"/>
      <c r="BH101" s="441"/>
      <c r="BI101" s="441"/>
      <c r="BJ101" s="441"/>
      <c r="BK101" s="442"/>
      <c r="BL101" s="504"/>
      <c r="BM101" s="466"/>
      <c r="BN101" s="466"/>
      <c r="BO101" s="466"/>
      <c r="BP101" s="466"/>
      <c r="BQ101" s="466"/>
      <c r="BR101" s="466"/>
      <c r="BS101" s="466"/>
      <c r="BT101" s="467"/>
      <c r="BU101" s="504"/>
      <c r="BV101" s="466"/>
      <c r="BW101" s="466"/>
      <c r="BX101" s="466"/>
      <c r="BY101" s="466"/>
      <c r="BZ101" s="466"/>
      <c r="CA101" s="466"/>
      <c r="CB101" s="466"/>
      <c r="CC101" s="467"/>
      <c r="CD101" s="504"/>
      <c r="CE101" s="466"/>
      <c r="CF101" s="466"/>
      <c r="CG101" s="466"/>
      <c r="CH101" s="466"/>
      <c r="CI101" s="466"/>
      <c r="CJ101" s="466"/>
      <c r="CK101" s="466"/>
      <c r="CL101" s="467"/>
      <c r="CM101" s="504" t="s">
        <v>46</v>
      </c>
      <c r="CN101" s="466"/>
      <c r="CO101" s="466"/>
      <c r="CP101" s="466"/>
      <c r="CQ101" s="466"/>
      <c r="CR101" s="466"/>
      <c r="CS101" s="466"/>
      <c r="CT101" s="466"/>
      <c r="CU101" s="474"/>
    </row>
    <row r="102" spans="1:99" ht="15.75" x14ac:dyDescent="0.25">
      <c r="A102" s="438" t="s">
        <v>290</v>
      </c>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40"/>
      <c r="AV102" s="461"/>
      <c r="AW102" s="461"/>
      <c r="AX102" s="461"/>
      <c r="AY102" s="462"/>
      <c r="AZ102" s="464"/>
      <c r="BA102" s="461"/>
      <c r="BB102" s="461"/>
      <c r="BC102" s="461"/>
      <c r="BD102" s="461"/>
      <c r="BE102" s="462"/>
      <c r="BF102" s="464"/>
      <c r="BG102" s="461"/>
      <c r="BH102" s="461"/>
      <c r="BI102" s="461"/>
      <c r="BJ102" s="461"/>
      <c r="BK102" s="462"/>
      <c r="BL102" s="468"/>
      <c r="BM102" s="469"/>
      <c r="BN102" s="469"/>
      <c r="BO102" s="469"/>
      <c r="BP102" s="469"/>
      <c r="BQ102" s="469"/>
      <c r="BR102" s="469"/>
      <c r="BS102" s="469"/>
      <c r="BT102" s="470"/>
      <c r="BU102" s="468"/>
      <c r="BV102" s="469"/>
      <c r="BW102" s="469"/>
      <c r="BX102" s="469"/>
      <c r="BY102" s="469"/>
      <c r="BZ102" s="469"/>
      <c r="CA102" s="469"/>
      <c r="CB102" s="469"/>
      <c r="CC102" s="470"/>
      <c r="CD102" s="468"/>
      <c r="CE102" s="469"/>
      <c r="CF102" s="469"/>
      <c r="CG102" s="469"/>
      <c r="CH102" s="469"/>
      <c r="CI102" s="469"/>
      <c r="CJ102" s="469"/>
      <c r="CK102" s="469"/>
      <c r="CL102" s="470"/>
      <c r="CM102" s="468"/>
      <c r="CN102" s="469"/>
      <c r="CO102" s="469"/>
      <c r="CP102" s="469"/>
      <c r="CQ102" s="469"/>
      <c r="CR102" s="469"/>
      <c r="CS102" s="469"/>
      <c r="CT102" s="469"/>
      <c r="CU102" s="475"/>
    </row>
    <row r="103" spans="1:99" ht="15.75" x14ac:dyDescent="0.25">
      <c r="A103" s="477" t="s">
        <v>291</v>
      </c>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8"/>
      <c r="AL103" s="478"/>
      <c r="AM103" s="478"/>
      <c r="AN103" s="478"/>
      <c r="AO103" s="478"/>
      <c r="AP103" s="478"/>
      <c r="AQ103" s="478"/>
      <c r="AR103" s="478"/>
      <c r="AS103" s="478"/>
      <c r="AT103" s="478"/>
      <c r="AU103" s="479"/>
      <c r="AV103" s="355"/>
      <c r="AW103" s="355"/>
      <c r="AX103" s="355"/>
      <c r="AY103" s="463"/>
      <c r="AZ103" s="465"/>
      <c r="BA103" s="355"/>
      <c r="BB103" s="355"/>
      <c r="BC103" s="355"/>
      <c r="BD103" s="355"/>
      <c r="BE103" s="463"/>
      <c r="BF103" s="465"/>
      <c r="BG103" s="355"/>
      <c r="BH103" s="355"/>
      <c r="BI103" s="355"/>
      <c r="BJ103" s="355"/>
      <c r="BK103" s="463"/>
      <c r="BL103" s="471"/>
      <c r="BM103" s="472"/>
      <c r="BN103" s="472"/>
      <c r="BO103" s="472"/>
      <c r="BP103" s="472"/>
      <c r="BQ103" s="472"/>
      <c r="BR103" s="472"/>
      <c r="BS103" s="472"/>
      <c r="BT103" s="473"/>
      <c r="BU103" s="471"/>
      <c r="BV103" s="472"/>
      <c r="BW103" s="472"/>
      <c r="BX103" s="472"/>
      <c r="BY103" s="472"/>
      <c r="BZ103" s="472"/>
      <c r="CA103" s="472"/>
      <c r="CB103" s="472"/>
      <c r="CC103" s="473"/>
      <c r="CD103" s="471"/>
      <c r="CE103" s="472"/>
      <c r="CF103" s="472"/>
      <c r="CG103" s="472"/>
      <c r="CH103" s="472"/>
      <c r="CI103" s="472"/>
      <c r="CJ103" s="472"/>
      <c r="CK103" s="472"/>
      <c r="CL103" s="473"/>
      <c r="CM103" s="471"/>
      <c r="CN103" s="472"/>
      <c r="CO103" s="472"/>
      <c r="CP103" s="472"/>
      <c r="CQ103" s="472"/>
      <c r="CR103" s="472"/>
      <c r="CS103" s="472"/>
      <c r="CT103" s="472"/>
      <c r="CU103" s="476"/>
    </row>
    <row r="104" spans="1:99" ht="15.75" x14ac:dyDescent="0.25">
      <c r="A104" s="458" t="s">
        <v>292</v>
      </c>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60"/>
      <c r="AV104" s="441" t="s">
        <v>293</v>
      </c>
      <c r="AW104" s="441"/>
      <c r="AX104" s="441"/>
      <c r="AY104" s="442"/>
      <c r="AZ104" s="443" t="s">
        <v>294</v>
      </c>
      <c r="BA104" s="441"/>
      <c r="BB104" s="441"/>
      <c r="BC104" s="441"/>
      <c r="BD104" s="441"/>
      <c r="BE104" s="442"/>
      <c r="BF104" s="443"/>
      <c r="BG104" s="441"/>
      <c r="BH104" s="441"/>
      <c r="BI104" s="441"/>
      <c r="BJ104" s="441"/>
      <c r="BK104" s="442"/>
      <c r="BL104" s="504"/>
      <c r="BM104" s="466"/>
      <c r="BN104" s="466"/>
      <c r="BO104" s="466"/>
      <c r="BP104" s="466"/>
      <c r="BQ104" s="466"/>
      <c r="BR104" s="466"/>
      <c r="BS104" s="466"/>
      <c r="BT104" s="467"/>
      <c r="BU104" s="504"/>
      <c r="BV104" s="466"/>
      <c r="BW104" s="466"/>
      <c r="BX104" s="466"/>
      <c r="BY104" s="466"/>
      <c r="BZ104" s="466"/>
      <c r="CA104" s="466"/>
      <c r="CB104" s="466"/>
      <c r="CC104" s="467"/>
      <c r="CD104" s="504"/>
      <c r="CE104" s="466"/>
      <c r="CF104" s="466"/>
      <c r="CG104" s="466"/>
      <c r="CH104" s="466"/>
      <c r="CI104" s="466"/>
      <c r="CJ104" s="466"/>
      <c r="CK104" s="466"/>
      <c r="CL104" s="467"/>
      <c r="CM104" s="504" t="s">
        <v>46</v>
      </c>
      <c r="CN104" s="466"/>
      <c r="CO104" s="466"/>
      <c r="CP104" s="466"/>
      <c r="CQ104" s="466"/>
      <c r="CR104" s="466"/>
      <c r="CS104" s="466"/>
      <c r="CT104" s="466"/>
      <c r="CU104" s="474"/>
    </row>
    <row r="105" spans="1:99" ht="15.75" x14ac:dyDescent="0.25">
      <c r="A105" s="477" t="s">
        <v>295</v>
      </c>
      <c r="B105" s="478"/>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478"/>
      <c r="AK105" s="478"/>
      <c r="AL105" s="478"/>
      <c r="AM105" s="478"/>
      <c r="AN105" s="478"/>
      <c r="AO105" s="478"/>
      <c r="AP105" s="478"/>
      <c r="AQ105" s="478"/>
      <c r="AR105" s="478"/>
      <c r="AS105" s="478"/>
      <c r="AT105" s="478"/>
      <c r="AU105" s="479"/>
      <c r="AV105" s="355"/>
      <c r="AW105" s="355"/>
      <c r="AX105" s="355"/>
      <c r="AY105" s="463"/>
      <c r="AZ105" s="465"/>
      <c r="BA105" s="355"/>
      <c r="BB105" s="355"/>
      <c r="BC105" s="355"/>
      <c r="BD105" s="355"/>
      <c r="BE105" s="463"/>
      <c r="BF105" s="465"/>
      <c r="BG105" s="355"/>
      <c r="BH105" s="355"/>
      <c r="BI105" s="355"/>
      <c r="BJ105" s="355"/>
      <c r="BK105" s="463"/>
      <c r="BL105" s="471"/>
      <c r="BM105" s="472"/>
      <c r="BN105" s="472"/>
      <c r="BO105" s="472"/>
      <c r="BP105" s="472"/>
      <c r="BQ105" s="472"/>
      <c r="BR105" s="472"/>
      <c r="BS105" s="472"/>
      <c r="BT105" s="473"/>
      <c r="BU105" s="471"/>
      <c r="BV105" s="472"/>
      <c r="BW105" s="472"/>
      <c r="BX105" s="472"/>
      <c r="BY105" s="472"/>
      <c r="BZ105" s="472"/>
      <c r="CA105" s="472"/>
      <c r="CB105" s="472"/>
      <c r="CC105" s="473"/>
      <c r="CD105" s="471"/>
      <c r="CE105" s="472"/>
      <c r="CF105" s="472"/>
      <c r="CG105" s="472"/>
      <c r="CH105" s="472"/>
      <c r="CI105" s="472"/>
      <c r="CJ105" s="472"/>
      <c r="CK105" s="472"/>
      <c r="CL105" s="473"/>
      <c r="CM105" s="471"/>
      <c r="CN105" s="472"/>
      <c r="CO105" s="472"/>
      <c r="CP105" s="472"/>
      <c r="CQ105" s="472"/>
      <c r="CR105" s="472"/>
      <c r="CS105" s="472"/>
      <c r="CT105" s="472"/>
      <c r="CU105" s="476"/>
    </row>
    <row r="106" spans="1:99" ht="18.75" customHeight="1" x14ac:dyDescent="0.25">
      <c r="A106" s="588" t="s">
        <v>296</v>
      </c>
      <c r="B106" s="58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90"/>
      <c r="AV106" s="591" t="s">
        <v>297</v>
      </c>
      <c r="AW106" s="575"/>
      <c r="AX106" s="575"/>
      <c r="AY106" s="575"/>
      <c r="AZ106" s="575" t="s">
        <v>298</v>
      </c>
      <c r="BA106" s="575"/>
      <c r="BB106" s="575"/>
      <c r="BC106" s="575"/>
      <c r="BD106" s="575"/>
      <c r="BE106" s="575"/>
      <c r="BF106" s="575" t="s">
        <v>123</v>
      </c>
      <c r="BG106" s="575"/>
      <c r="BH106" s="575"/>
      <c r="BI106" s="575"/>
      <c r="BJ106" s="575"/>
      <c r="BK106" s="575"/>
      <c r="BL106" s="592">
        <f>BL107+BL109+BL111</f>
        <v>182671</v>
      </c>
      <c r="BM106" s="593"/>
      <c r="BN106" s="593"/>
      <c r="BO106" s="593"/>
      <c r="BP106" s="593"/>
      <c r="BQ106" s="593"/>
      <c r="BR106" s="593"/>
      <c r="BS106" s="593"/>
      <c r="BT106" s="593"/>
      <c r="BU106" s="592">
        <f t="shared" ref="BU106" si="14">BU107+BU109+BU111</f>
        <v>182671</v>
      </c>
      <c r="BV106" s="593"/>
      <c r="BW106" s="593"/>
      <c r="BX106" s="593"/>
      <c r="BY106" s="593"/>
      <c r="BZ106" s="593"/>
      <c r="CA106" s="593"/>
      <c r="CB106" s="593"/>
      <c r="CC106" s="593"/>
      <c r="CD106" s="592">
        <f t="shared" ref="CD106" si="15">CD107+CD109+CD111</f>
        <v>192594.62</v>
      </c>
      <c r="CE106" s="593"/>
      <c r="CF106" s="593"/>
      <c r="CG106" s="593"/>
      <c r="CH106" s="593"/>
      <c r="CI106" s="593"/>
      <c r="CJ106" s="593"/>
      <c r="CK106" s="593"/>
      <c r="CL106" s="593"/>
      <c r="CM106" s="593" t="s">
        <v>46</v>
      </c>
      <c r="CN106" s="593"/>
      <c r="CO106" s="593"/>
      <c r="CP106" s="593"/>
      <c r="CQ106" s="593"/>
      <c r="CR106" s="593"/>
      <c r="CS106" s="593"/>
      <c r="CT106" s="593"/>
      <c r="CU106" s="594"/>
    </row>
    <row r="107" spans="1:99" ht="15.75" x14ac:dyDescent="0.25">
      <c r="A107" s="458" t="s">
        <v>4</v>
      </c>
      <c r="B107" s="459"/>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60"/>
      <c r="AV107" s="441" t="s">
        <v>299</v>
      </c>
      <c r="AW107" s="441"/>
      <c r="AX107" s="441"/>
      <c r="AY107" s="442"/>
      <c r="AZ107" s="443" t="s">
        <v>51</v>
      </c>
      <c r="BA107" s="441"/>
      <c r="BB107" s="441"/>
      <c r="BC107" s="441"/>
      <c r="BD107" s="441"/>
      <c r="BE107" s="442"/>
      <c r="BF107" s="443" t="s">
        <v>123</v>
      </c>
      <c r="BG107" s="441"/>
      <c r="BH107" s="441"/>
      <c r="BI107" s="441"/>
      <c r="BJ107" s="441"/>
      <c r="BK107" s="442"/>
      <c r="BL107" s="444">
        <f>'4 (2025)'!F52+'ОСТАТКИ МЗ'!F49+'4 (2025)'!F53</f>
        <v>177671</v>
      </c>
      <c r="BM107" s="466"/>
      <c r="BN107" s="466"/>
      <c r="BO107" s="466"/>
      <c r="BP107" s="466"/>
      <c r="BQ107" s="466"/>
      <c r="BR107" s="466"/>
      <c r="BS107" s="466"/>
      <c r="BT107" s="467"/>
      <c r="BU107" s="444">
        <f>'4 (2026)'!G52+'4 (2026)'!G53</f>
        <v>177671</v>
      </c>
      <c r="BV107" s="466"/>
      <c r="BW107" s="466"/>
      <c r="BX107" s="466"/>
      <c r="BY107" s="466"/>
      <c r="BZ107" s="466"/>
      <c r="CA107" s="466"/>
      <c r="CB107" s="466"/>
      <c r="CC107" s="467"/>
      <c r="CD107" s="444">
        <f>'4 (2027)'!G52+'4 (2027)'!G53</f>
        <v>187322.99</v>
      </c>
      <c r="CE107" s="466"/>
      <c r="CF107" s="466"/>
      <c r="CG107" s="466"/>
      <c r="CH107" s="466"/>
      <c r="CI107" s="466"/>
      <c r="CJ107" s="466"/>
      <c r="CK107" s="466"/>
      <c r="CL107" s="467"/>
      <c r="CM107" s="504" t="s">
        <v>46</v>
      </c>
      <c r="CN107" s="466"/>
      <c r="CO107" s="466"/>
      <c r="CP107" s="466"/>
      <c r="CQ107" s="466"/>
      <c r="CR107" s="466"/>
      <c r="CS107" s="466"/>
      <c r="CT107" s="466"/>
      <c r="CU107" s="474"/>
    </row>
    <row r="108" spans="1:99" ht="15.75" x14ac:dyDescent="0.25">
      <c r="A108" s="477" t="s">
        <v>300</v>
      </c>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c r="AJ108" s="478"/>
      <c r="AK108" s="478"/>
      <c r="AL108" s="478"/>
      <c r="AM108" s="478"/>
      <c r="AN108" s="478"/>
      <c r="AO108" s="478"/>
      <c r="AP108" s="478"/>
      <c r="AQ108" s="478"/>
      <c r="AR108" s="478"/>
      <c r="AS108" s="478"/>
      <c r="AT108" s="478"/>
      <c r="AU108" s="479"/>
      <c r="AV108" s="355"/>
      <c r="AW108" s="355"/>
      <c r="AX108" s="355"/>
      <c r="AY108" s="463"/>
      <c r="AZ108" s="465"/>
      <c r="BA108" s="355"/>
      <c r="BB108" s="355"/>
      <c r="BC108" s="355"/>
      <c r="BD108" s="355"/>
      <c r="BE108" s="463"/>
      <c r="BF108" s="465"/>
      <c r="BG108" s="355"/>
      <c r="BH108" s="355"/>
      <c r="BI108" s="355"/>
      <c r="BJ108" s="355"/>
      <c r="BK108" s="463"/>
      <c r="BL108" s="471"/>
      <c r="BM108" s="472"/>
      <c r="BN108" s="472"/>
      <c r="BO108" s="472"/>
      <c r="BP108" s="472"/>
      <c r="BQ108" s="472"/>
      <c r="BR108" s="472"/>
      <c r="BS108" s="472"/>
      <c r="BT108" s="473"/>
      <c r="BU108" s="471"/>
      <c r="BV108" s="472"/>
      <c r="BW108" s="472"/>
      <c r="BX108" s="472"/>
      <c r="BY108" s="472"/>
      <c r="BZ108" s="472"/>
      <c r="CA108" s="472"/>
      <c r="CB108" s="472"/>
      <c r="CC108" s="473"/>
      <c r="CD108" s="471"/>
      <c r="CE108" s="472"/>
      <c r="CF108" s="472"/>
      <c r="CG108" s="472"/>
      <c r="CH108" s="472"/>
      <c r="CI108" s="472"/>
      <c r="CJ108" s="472"/>
      <c r="CK108" s="472"/>
      <c r="CL108" s="473"/>
      <c r="CM108" s="471"/>
      <c r="CN108" s="472"/>
      <c r="CO108" s="472"/>
      <c r="CP108" s="472"/>
      <c r="CQ108" s="472"/>
      <c r="CR108" s="472"/>
      <c r="CS108" s="472"/>
      <c r="CT108" s="472"/>
      <c r="CU108" s="476"/>
    </row>
    <row r="109" spans="1:99" ht="15.75" x14ac:dyDescent="0.25">
      <c r="A109" s="458" t="s">
        <v>301</v>
      </c>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60"/>
      <c r="AV109" s="441" t="s">
        <v>302</v>
      </c>
      <c r="AW109" s="441"/>
      <c r="AX109" s="441"/>
      <c r="AY109" s="442"/>
      <c r="AZ109" s="443" t="s">
        <v>52</v>
      </c>
      <c r="BA109" s="441"/>
      <c r="BB109" s="441"/>
      <c r="BC109" s="441"/>
      <c r="BD109" s="441"/>
      <c r="BE109" s="442"/>
      <c r="BF109" s="443" t="s">
        <v>123</v>
      </c>
      <c r="BG109" s="441"/>
      <c r="BH109" s="441"/>
      <c r="BI109" s="441"/>
      <c r="BJ109" s="441"/>
      <c r="BK109" s="442"/>
      <c r="BL109" s="444">
        <f>'4 (2025)'!F54+'ОСТАТКИ МЗ'!F50</f>
        <v>0</v>
      </c>
      <c r="BM109" s="466"/>
      <c r="BN109" s="466"/>
      <c r="BO109" s="466"/>
      <c r="BP109" s="466"/>
      <c r="BQ109" s="466"/>
      <c r="BR109" s="466"/>
      <c r="BS109" s="466"/>
      <c r="BT109" s="467"/>
      <c r="BU109" s="444">
        <f>'4 (2026)'!G54</f>
        <v>0</v>
      </c>
      <c r="BV109" s="466"/>
      <c r="BW109" s="466"/>
      <c r="BX109" s="466"/>
      <c r="BY109" s="466"/>
      <c r="BZ109" s="466"/>
      <c r="CA109" s="466"/>
      <c r="CB109" s="466"/>
      <c r="CC109" s="467"/>
      <c r="CD109" s="444">
        <f>'4 (2027)'!G54</f>
        <v>0</v>
      </c>
      <c r="CE109" s="466"/>
      <c r="CF109" s="466"/>
      <c r="CG109" s="466"/>
      <c r="CH109" s="466"/>
      <c r="CI109" s="466"/>
      <c r="CJ109" s="466"/>
      <c r="CK109" s="466"/>
      <c r="CL109" s="467"/>
      <c r="CM109" s="504" t="s">
        <v>46</v>
      </c>
      <c r="CN109" s="466"/>
      <c r="CO109" s="466"/>
      <c r="CP109" s="466"/>
      <c r="CQ109" s="466"/>
      <c r="CR109" s="466"/>
      <c r="CS109" s="466"/>
      <c r="CT109" s="466"/>
      <c r="CU109" s="474"/>
    </row>
    <row r="110" spans="1:99" ht="15.75" x14ac:dyDescent="0.25">
      <c r="A110" s="477" t="s">
        <v>303</v>
      </c>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8"/>
      <c r="AP110" s="478"/>
      <c r="AQ110" s="478"/>
      <c r="AR110" s="478"/>
      <c r="AS110" s="478"/>
      <c r="AT110" s="478"/>
      <c r="AU110" s="479"/>
      <c r="AV110" s="355"/>
      <c r="AW110" s="355"/>
      <c r="AX110" s="355"/>
      <c r="AY110" s="463"/>
      <c r="AZ110" s="465"/>
      <c r="BA110" s="355"/>
      <c r="BB110" s="355"/>
      <c r="BC110" s="355"/>
      <c r="BD110" s="355"/>
      <c r="BE110" s="463"/>
      <c r="BF110" s="465"/>
      <c r="BG110" s="355"/>
      <c r="BH110" s="355"/>
      <c r="BI110" s="355"/>
      <c r="BJ110" s="355"/>
      <c r="BK110" s="463"/>
      <c r="BL110" s="471"/>
      <c r="BM110" s="472"/>
      <c r="BN110" s="472"/>
      <c r="BO110" s="472"/>
      <c r="BP110" s="472"/>
      <c r="BQ110" s="472"/>
      <c r="BR110" s="472"/>
      <c r="BS110" s="472"/>
      <c r="BT110" s="473"/>
      <c r="BU110" s="471"/>
      <c r="BV110" s="472"/>
      <c r="BW110" s="472"/>
      <c r="BX110" s="472"/>
      <c r="BY110" s="472"/>
      <c r="BZ110" s="472"/>
      <c r="CA110" s="472"/>
      <c r="CB110" s="472"/>
      <c r="CC110" s="473"/>
      <c r="CD110" s="471"/>
      <c r="CE110" s="472"/>
      <c r="CF110" s="472"/>
      <c r="CG110" s="472"/>
      <c r="CH110" s="472"/>
      <c r="CI110" s="472"/>
      <c r="CJ110" s="472"/>
      <c r="CK110" s="472"/>
      <c r="CL110" s="473"/>
      <c r="CM110" s="471"/>
      <c r="CN110" s="472"/>
      <c r="CO110" s="472"/>
      <c r="CP110" s="472"/>
      <c r="CQ110" s="472"/>
      <c r="CR110" s="472"/>
      <c r="CS110" s="472"/>
      <c r="CT110" s="472"/>
      <c r="CU110" s="476"/>
    </row>
    <row r="111" spans="1:99" ht="17.25" customHeight="1" x14ac:dyDescent="0.25">
      <c r="A111" s="337" t="s">
        <v>304</v>
      </c>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8"/>
      <c r="AP111" s="338"/>
      <c r="AQ111" s="338"/>
      <c r="AR111" s="338"/>
      <c r="AS111" s="338"/>
      <c r="AT111" s="338"/>
      <c r="AU111" s="525"/>
      <c r="AV111" s="511" t="s">
        <v>305</v>
      </c>
      <c r="AW111" s="340"/>
      <c r="AX111" s="340"/>
      <c r="AY111" s="340"/>
      <c r="AZ111" s="340" t="s">
        <v>53</v>
      </c>
      <c r="BA111" s="340"/>
      <c r="BB111" s="340"/>
      <c r="BC111" s="340"/>
      <c r="BD111" s="340"/>
      <c r="BE111" s="340"/>
      <c r="BF111" s="340" t="s">
        <v>128</v>
      </c>
      <c r="BG111" s="340"/>
      <c r="BH111" s="340"/>
      <c r="BI111" s="340"/>
      <c r="BJ111" s="340"/>
      <c r="BK111" s="340"/>
      <c r="BL111" s="341">
        <f>'4 (2025)'!F55+'4 (2025)'!F56+'4 (2025)'!F57</f>
        <v>5000</v>
      </c>
      <c r="BM111" s="342"/>
      <c r="BN111" s="342"/>
      <c r="BO111" s="342"/>
      <c r="BP111" s="342"/>
      <c r="BQ111" s="342"/>
      <c r="BR111" s="342"/>
      <c r="BS111" s="342"/>
      <c r="BT111" s="342"/>
      <c r="BU111" s="341">
        <f>'4 (2026)'!G55+'4 (2026)'!G56+'4 (2026)'!G57</f>
        <v>5000</v>
      </c>
      <c r="BV111" s="342"/>
      <c r="BW111" s="342"/>
      <c r="BX111" s="342"/>
      <c r="BY111" s="342"/>
      <c r="BZ111" s="342"/>
      <c r="CA111" s="342"/>
      <c r="CB111" s="342"/>
      <c r="CC111" s="342"/>
      <c r="CD111" s="341">
        <f>'4 (2027)'!F55+'4 (2027)'!F56+'4 (2027)'!F57</f>
        <v>5271.63</v>
      </c>
      <c r="CE111" s="342"/>
      <c r="CF111" s="342"/>
      <c r="CG111" s="342"/>
      <c r="CH111" s="342"/>
      <c r="CI111" s="342"/>
      <c r="CJ111" s="342"/>
      <c r="CK111" s="342"/>
      <c r="CL111" s="342"/>
      <c r="CM111" s="342" t="s">
        <v>46</v>
      </c>
      <c r="CN111" s="342"/>
      <c r="CO111" s="342"/>
      <c r="CP111" s="342"/>
      <c r="CQ111" s="342"/>
      <c r="CR111" s="342"/>
      <c r="CS111" s="342"/>
      <c r="CT111" s="342"/>
      <c r="CU111" s="512"/>
    </row>
    <row r="112" spans="1:99" ht="18" customHeight="1" x14ac:dyDescent="0.25">
      <c r="A112" s="489" t="s">
        <v>306</v>
      </c>
      <c r="B112" s="490"/>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1"/>
      <c r="AV112" s="492" t="s">
        <v>307</v>
      </c>
      <c r="AW112" s="493"/>
      <c r="AX112" s="493"/>
      <c r="AY112" s="493"/>
      <c r="AZ112" s="493" t="s">
        <v>46</v>
      </c>
      <c r="BA112" s="493"/>
      <c r="BB112" s="493"/>
      <c r="BC112" s="493"/>
      <c r="BD112" s="493"/>
      <c r="BE112" s="493"/>
      <c r="BF112" s="503"/>
      <c r="BG112" s="503"/>
      <c r="BH112" s="503"/>
      <c r="BI112" s="503"/>
      <c r="BJ112" s="503"/>
      <c r="BK112" s="503"/>
      <c r="BL112" s="503">
        <v>0</v>
      </c>
      <c r="BM112" s="503"/>
      <c r="BN112" s="503"/>
      <c r="BO112" s="503"/>
      <c r="BP112" s="503"/>
      <c r="BQ112" s="503"/>
      <c r="BR112" s="503"/>
      <c r="BS112" s="503"/>
      <c r="BT112" s="503"/>
      <c r="BU112" s="503">
        <v>0</v>
      </c>
      <c r="BV112" s="503"/>
      <c r="BW112" s="503"/>
      <c r="BX112" s="503"/>
      <c r="BY112" s="503"/>
      <c r="BZ112" s="503"/>
      <c r="CA112" s="503"/>
      <c r="CB112" s="503"/>
      <c r="CC112" s="503"/>
      <c r="CD112" s="503">
        <v>0</v>
      </c>
      <c r="CE112" s="503"/>
      <c r="CF112" s="503"/>
      <c r="CG112" s="503"/>
      <c r="CH112" s="503"/>
      <c r="CI112" s="503"/>
      <c r="CJ112" s="503"/>
      <c r="CK112" s="503"/>
      <c r="CL112" s="503"/>
      <c r="CM112" s="494" t="s">
        <v>46</v>
      </c>
      <c r="CN112" s="494"/>
      <c r="CO112" s="494"/>
      <c r="CP112" s="494"/>
      <c r="CQ112" s="494"/>
      <c r="CR112" s="494"/>
      <c r="CS112" s="494"/>
      <c r="CT112" s="494"/>
      <c r="CU112" s="495"/>
    </row>
    <row r="113" spans="1:99" ht="15.75" x14ac:dyDescent="0.25">
      <c r="A113" s="458" t="s">
        <v>4</v>
      </c>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c r="AO113" s="459"/>
      <c r="AP113" s="459"/>
      <c r="AQ113" s="459"/>
      <c r="AR113" s="459"/>
      <c r="AS113" s="459"/>
      <c r="AT113" s="459"/>
      <c r="AU113" s="460"/>
      <c r="AV113" s="441" t="s">
        <v>308</v>
      </c>
      <c r="AW113" s="441"/>
      <c r="AX113" s="441"/>
      <c r="AY113" s="442"/>
      <c r="AZ113" s="443" t="s">
        <v>539</v>
      </c>
      <c r="BA113" s="441"/>
      <c r="BB113" s="441"/>
      <c r="BC113" s="441"/>
      <c r="BD113" s="441"/>
      <c r="BE113" s="442"/>
      <c r="BF113" s="443"/>
      <c r="BG113" s="441"/>
      <c r="BH113" s="441"/>
      <c r="BI113" s="441"/>
      <c r="BJ113" s="441"/>
      <c r="BK113" s="442"/>
      <c r="BL113" s="504"/>
      <c r="BM113" s="466"/>
      <c r="BN113" s="466"/>
      <c r="BO113" s="466"/>
      <c r="BP113" s="466"/>
      <c r="BQ113" s="466"/>
      <c r="BR113" s="466"/>
      <c r="BS113" s="466"/>
      <c r="BT113" s="467"/>
      <c r="BU113" s="504"/>
      <c r="BV113" s="466"/>
      <c r="BW113" s="466"/>
      <c r="BX113" s="466"/>
      <c r="BY113" s="466"/>
      <c r="BZ113" s="466"/>
      <c r="CA113" s="466"/>
      <c r="CB113" s="466"/>
      <c r="CC113" s="467"/>
      <c r="CD113" s="504"/>
      <c r="CE113" s="466"/>
      <c r="CF113" s="466"/>
      <c r="CG113" s="466"/>
      <c r="CH113" s="466"/>
      <c r="CI113" s="466"/>
      <c r="CJ113" s="466"/>
      <c r="CK113" s="466"/>
      <c r="CL113" s="467"/>
      <c r="CM113" s="504" t="s">
        <v>46</v>
      </c>
      <c r="CN113" s="466"/>
      <c r="CO113" s="466"/>
      <c r="CP113" s="466"/>
      <c r="CQ113" s="466"/>
      <c r="CR113" s="466"/>
      <c r="CS113" s="466"/>
      <c r="CT113" s="466"/>
      <c r="CU113" s="474"/>
    </row>
    <row r="114" spans="1:99" ht="15.75" x14ac:dyDescent="0.25">
      <c r="A114" s="477" t="s">
        <v>540</v>
      </c>
      <c r="B114" s="478"/>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c r="AJ114" s="478"/>
      <c r="AK114" s="478"/>
      <c r="AL114" s="478"/>
      <c r="AM114" s="478"/>
      <c r="AN114" s="478"/>
      <c r="AO114" s="478"/>
      <c r="AP114" s="478"/>
      <c r="AQ114" s="478"/>
      <c r="AR114" s="478"/>
      <c r="AS114" s="478"/>
      <c r="AT114" s="478"/>
      <c r="AU114" s="479"/>
      <c r="AV114" s="355"/>
      <c r="AW114" s="355"/>
      <c r="AX114" s="355"/>
      <c r="AY114" s="463"/>
      <c r="AZ114" s="465"/>
      <c r="BA114" s="355"/>
      <c r="BB114" s="355"/>
      <c r="BC114" s="355"/>
      <c r="BD114" s="355"/>
      <c r="BE114" s="463"/>
      <c r="BF114" s="465"/>
      <c r="BG114" s="355"/>
      <c r="BH114" s="355"/>
      <c r="BI114" s="355"/>
      <c r="BJ114" s="355"/>
      <c r="BK114" s="463"/>
      <c r="BL114" s="471"/>
      <c r="BM114" s="472"/>
      <c r="BN114" s="472"/>
      <c r="BO114" s="472"/>
      <c r="BP114" s="472"/>
      <c r="BQ114" s="472"/>
      <c r="BR114" s="472"/>
      <c r="BS114" s="472"/>
      <c r="BT114" s="473"/>
      <c r="BU114" s="471"/>
      <c r="BV114" s="472"/>
      <c r="BW114" s="472"/>
      <c r="BX114" s="472"/>
      <c r="BY114" s="472"/>
      <c r="BZ114" s="472"/>
      <c r="CA114" s="472"/>
      <c r="CB114" s="472"/>
      <c r="CC114" s="473"/>
      <c r="CD114" s="471"/>
      <c r="CE114" s="472"/>
      <c r="CF114" s="472"/>
      <c r="CG114" s="472"/>
      <c r="CH114" s="472"/>
      <c r="CI114" s="472"/>
      <c r="CJ114" s="472"/>
      <c r="CK114" s="472"/>
      <c r="CL114" s="473"/>
      <c r="CM114" s="471"/>
      <c r="CN114" s="472"/>
      <c r="CO114" s="472"/>
      <c r="CP114" s="472"/>
      <c r="CQ114" s="472"/>
      <c r="CR114" s="472"/>
      <c r="CS114" s="472"/>
      <c r="CT114" s="472"/>
      <c r="CU114" s="476"/>
    </row>
    <row r="115" spans="1:99" ht="16.5" customHeight="1" x14ac:dyDescent="0.25">
      <c r="A115" s="337" t="s">
        <v>534</v>
      </c>
      <c r="B115" s="33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c r="AG115" s="338"/>
      <c r="AH115" s="338"/>
      <c r="AI115" s="338"/>
      <c r="AJ115" s="338"/>
      <c r="AK115" s="338"/>
      <c r="AL115" s="338"/>
      <c r="AM115" s="338"/>
      <c r="AN115" s="338"/>
      <c r="AO115" s="338"/>
      <c r="AP115" s="338"/>
      <c r="AQ115" s="338"/>
      <c r="AR115" s="338"/>
      <c r="AS115" s="338"/>
      <c r="AT115" s="338"/>
      <c r="AU115" s="338"/>
      <c r="AV115" s="339" t="s">
        <v>311</v>
      </c>
      <c r="AW115" s="340"/>
      <c r="AX115" s="340"/>
      <c r="AY115" s="340"/>
      <c r="AZ115" s="340" t="s">
        <v>541</v>
      </c>
      <c r="BA115" s="340"/>
      <c r="BB115" s="340"/>
      <c r="BC115" s="340"/>
      <c r="BD115" s="340"/>
      <c r="BE115" s="340"/>
      <c r="BF115" s="340"/>
      <c r="BG115" s="340"/>
      <c r="BH115" s="340"/>
      <c r="BI115" s="340"/>
      <c r="BJ115" s="340"/>
      <c r="BK115" s="340"/>
      <c r="BL115" s="342"/>
      <c r="BM115" s="342"/>
      <c r="BN115" s="342"/>
      <c r="BO115" s="342"/>
      <c r="BP115" s="342"/>
      <c r="BQ115" s="342"/>
      <c r="BR115" s="342"/>
      <c r="BS115" s="342"/>
      <c r="BT115" s="342"/>
      <c r="BU115" s="342"/>
      <c r="BV115" s="342"/>
      <c r="BW115" s="342"/>
      <c r="BX115" s="342"/>
      <c r="BY115" s="342"/>
      <c r="BZ115" s="342"/>
      <c r="CA115" s="342"/>
      <c r="CB115" s="342"/>
      <c r="CC115" s="342"/>
      <c r="CD115" s="342"/>
      <c r="CE115" s="342"/>
      <c r="CF115" s="342"/>
      <c r="CG115" s="342"/>
      <c r="CH115" s="342"/>
      <c r="CI115" s="342"/>
      <c r="CJ115" s="342"/>
      <c r="CK115" s="342"/>
      <c r="CL115" s="342"/>
      <c r="CM115" s="342" t="s">
        <v>46</v>
      </c>
      <c r="CN115" s="342"/>
      <c r="CO115" s="342"/>
      <c r="CP115" s="342"/>
      <c r="CQ115" s="342"/>
      <c r="CR115" s="342"/>
      <c r="CS115" s="342"/>
      <c r="CT115" s="342"/>
      <c r="CU115" s="512"/>
    </row>
    <row r="116" spans="1:99" ht="32.25" customHeight="1" x14ac:dyDescent="0.25">
      <c r="A116" s="657" t="s">
        <v>535</v>
      </c>
      <c r="B116" s="658"/>
      <c r="C116" s="658"/>
      <c r="D116" s="658"/>
      <c r="E116" s="658"/>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c r="AC116" s="658"/>
      <c r="AD116" s="658"/>
      <c r="AE116" s="658"/>
      <c r="AF116" s="658"/>
      <c r="AG116" s="658"/>
      <c r="AH116" s="658"/>
      <c r="AI116" s="658"/>
      <c r="AJ116" s="658"/>
      <c r="AK116" s="658"/>
      <c r="AL116" s="658"/>
      <c r="AM116" s="658"/>
      <c r="AN116" s="658"/>
      <c r="AO116" s="658"/>
      <c r="AP116" s="658"/>
      <c r="AQ116" s="658"/>
      <c r="AR116" s="658"/>
      <c r="AS116" s="658"/>
      <c r="AT116" s="658"/>
      <c r="AU116" s="659"/>
      <c r="AV116" s="656" t="s">
        <v>314</v>
      </c>
      <c r="AW116" s="652"/>
      <c r="AX116" s="652"/>
      <c r="AY116" s="511"/>
      <c r="AZ116" s="653" t="s">
        <v>536</v>
      </c>
      <c r="BA116" s="652"/>
      <c r="BB116" s="652"/>
      <c r="BC116" s="652"/>
      <c r="BD116" s="652"/>
      <c r="BE116" s="511"/>
      <c r="BF116" s="235"/>
      <c r="BG116" s="236"/>
      <c r="BH116" s="236"/>
      <c r="BI116" s="236"/>
      <c r="BJ116" s="236"/>
      <c r="BK116" s="237"/>
      <c r="BL116" s="238"/>
      <c r="BM116" s="239"/>
      <c r="BN116" s="239"/>
      <c r="BO116" s="239"/>
      <c r="BP116" s="239"/>
      <c r="BQ116" s="239"/>
      <c r="BR116" s="239"/>
      <c r="BS116" s="239"/>
      <c r="BT116" s="240"/>
      <c r="BU116" s="238"/>
      <c r="BV116" s="239"/>
      <c r="BW116" s="239"/>
      <c r="BX116" s="239"/>
      <c r="BY116" s="239"/>
      <c r="BZ116" s="239"/>
      <c r="CA116" s="239"/>
      <c r="CB116" s="239"/>
      <c r="CC116" s="240"/>
      <c r="CD116" s="238"/>
      <c r="CE116" s="239"/>
      <c r="CF116" s="239"/>
      <c r="CG116" s="239"/>
      <c r="CH116" s="239"/>
      <c r="CI116" s="239"/>
      <c r="CJ116" s="239"/>
      <c r="CK116" s="239"/>
      <c r="CL116" s="240"/>
      <c r="CM116" s="238"/>
      <c r="CN116" s="239"/>
      <c r="CO116" s="239"/>
      <c r="CP116" s="239"/>
      <c r="CQ116" s="239"/>
      <c r="CR116" s="239"/>
      <c r="CS116" s="239"/>
      <c r="CT116" s="239"/>
      <c r="CU116" s="241"/>
    </row>
    <row r="117" spans="1:99" ht="15.75" x14ac:dyDescent="0.25">
      <c r="A117" s="655" t="s">
        <v>537</v>
      </c>
      <c r="B117" s="614"/>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4"/>
      <c r="AL117" s="614"/>
      <c r="AM117" s="614"/>
      <c r="AN117" s="614"/>
      <c r="AO117" s="614"/>
      <c r="AP117" s="614"/>
      <c r="AQ117" s="614"/>
      <c r="AR117" s="614"/>
      <c r="AS117" s="614"/>
      <c r="AT117" s="614"/>
      <c r="AU117" s="615"/>
      <c r="AV117" s="656" t="s">
        <v>538</v>
      </c>
      <c r="AW117" s="652"/>
      <c r="AX117" s="652"/>
      <c r="AY117" s="511"/>
      <c r="AZ117" s="653" t="s">
        <v>309</v>
      </c>
      <c r="BA117" s="652"/>
      <c r="BB117" s="652"/>
      <c r="BC117" s="652"/>
      <c r="BD117" s="652"/>
      <c r="BE117" s="511"/>
      <c r="BF117" s="235"/>
      <c r="BG117" s="236"/>
      <c r="BH117" s="236"/>
      <c r="BI117" s="236"/>
      <c r="BJ117" s="236"/>
      <c r="BK117" s="237"/>
      <c r="BL117" s="238"/>
      <c r="BM117" s="239"/>
      <c r="BN117" s="239"/>
      <c r="BO117" s="239"/>
      <c r="BP117" s="239"/>
      <c r="BQ117" s="239"/>
      <c r="BR117" s="239"/>
      <c r="BS117" s="239"/>
      <c r="BT117" s="240"/>
      <c r="BU117" s="238"/>
      <c r="BV117" s="239"/>
      <c r="BW117" s="239"/>
      <c r="BX117" s="239"/>
      <c r="BY117" s="239"/>
      <c r="BZ117" s="239"/>
      <c r="CA117" s="239"/>
      <c r="CB117" s="239"/>
      <c r="CC117" s="240"/>
      <c r="CD117" s="238"/>
      <c r="CE117" s="239"/>
      <c r="CF117" s="239"/>
      <c r="CG117" s="239"/>
      <c r="CH117" s="239"/>
      <c r="CI117" s="239"/>
      <c r="CJ117" s="239"/>
      <c r="CK117" s="239"/>
      <c r="CL117" s="240"/>
      <c r="CM117" s="238"/>
      <c r="CN117" s="239"/>
      <c r="CO117" s="239"/>
      <c r="CP117" s="239"/>
      <c r="CQ117" s="239"/>
      <c r="CR117" s="239"/>
      <c r="CS117" s="239"/>
      <c r="CT117" s="239"/>
      <c r="CU117" s="241"/>
    </row>
    <row r="118" spans="1:99" ht="16.5" customHeight="1" x14ac:dyDescent="0.25">
      <c r="A118" s="337" t="s">
        <v>310</v>
      </c>
      <c r="B118" s="338"/>
      <c r="C118" s="338"/>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c r="AG118" s="338"/>
      <c r="AH118" s="338"/>
      <c r="AI118" s="338"/>
      <c r="AJ118" s="338"/>
      <c r="AK118" s="338"/>
      <c r="AL118" s="338"/>
      <c r="AM118" s="338"/>
      <c r="AN118" s="338"/>
      <c r="AO118" s="338"/>
      <c r="AP118" s="338"/>
      <c r="AQ118" s="338"/>
      <c r="AR118" s="338"/>
      <c r="AS118" s="338"/>
      <c r="AT118" s="338"/>
      <c r="AU118" s="525"/>
      <c r="AV118" s="511" t="s">
        <v>601</v>
      </c>
      <c r="AW118" s="340"/>
      <c r="AX118" s="340"/>
      <c r="AY118" s="340"/>
      <c r="AZ118" s="340" t="s">
        <v>312</v>
      </c>
      <c r="BA118" s="340"/>
      <c r="BB118" s="340"/>
      <c r="BC118" s="340"/>
      <c r="BD118" s="340"/>
      <c r="BE118" s="340"/>
      <c r="BF118" s="340"/>
      <c r="BG118" s="340"/>
      <c r="BH118" s="340"/>
      <c r="BI118" s="340"/>
      <c r="BJ118" s="340"/>
      <c r="BK118" s="340"/>
      <c r="BL118" s="342"/>
      <c r="BM118" s="342"/>
      <c r="BN118" s="342"/>
      <c r="BO118" s="342"/>
      <c r="BP118" s="342"/>
      <c r="BQ118" s="342"/>
      <c r="BR118" s="342"/>
      <c r="BS118" s="342"/>
      <c r="BT118" s="342"/>
      <c r="BU118" s="342"/>
      <c r="BV118" s="342"/>
      <c r="BW118" s="342"/>
      <c r="BX118" s="342"/>
      <c r="BY118" s="342"/>
      <c r="BZ118" s="342"/>
      <c r="CA118" s="342"/>
      <c r="CB118" s="342"/>
      <c r="CC118" s="342"/>
      <c r="CD118" s="342"/>
      <c r="CE118" s="342"/>
      <c r="CF118" s="342"/>
      <c r="CG118" s="342"/>
      <c r="CH118" s="342"/>
      <c r="CI118" s="342"/>
      <c r="CJ118" s="342"/>
      <c r="CK118" s="342"/>
      <c r="CL118" s="342"/>
      <c r="CM118" s="342" t="s">
        <v>46</v>
      </c>
      <c r="CN118" s="342"/>
      <c r="CO118" s="342"/>
      <c r="CP118" s="342"/>
      <c r="CQ118" s="342"/>
      <c r="CR118" s="342"/>
      <c r="CS118" s="342"/>
      <c r="CT118" s="342"/>
      <c r="CU118" s="512"/>
    </row>
    <row r="119" spans="1:99" ht="15.75" x14ac:dyDescent="0.25">
      <c r="A119" s="458" t="s">
        <v>313</v>
      </c>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c r="AR119" s="459"/>
      <c r="AS119" s="459"/>
      <c r="AT119" s="459"/>
      <c r="AU119" s="460"/>
      <c r="AV119" s="441" t="s">
        <v>602</v>
      </c>
      <c r="AW119" s="441"/>
      <c r="AX119" s="441"/>
      <c r="AY119" s="442"/>
      <c r="AZ119" s="443" t="s">
        <v>315</v>
      </c>
      <c r="BA119" s="441"/>
      <c r="BB119" s="441"/>
      <c r="BC119" s="441"/>
      <c r="BD119" s="441"/>
      <c r="BE119" s="442"/>
      <c r="BF119" s="443"/>
      <c r="BG119" s="441"/>
      <c r="BH119" s="441"/>
      <c r="BI119" s="441"/>
      <c r="BJ119" s="441"/>
      <c r="BK119" s="442"/>
      <c r="BL119" s="504"/>
      <c r="BM119" s="466"/>
      <c r="BN119" s="466"/>
      <c r="BO119" s="466"/>
      <c r="BP119" s="466"/>
      <c r="BQ119" s="466"/>
      <c r="BR119" s="466"/>
      <c r="BS119" s="466"/>
      <c r="BT119" s="467"/>
      <c r="BU119" s="504"/>
      <c r="BV119" s="466"/>
      <c r="BW119" s="466"/>
      <c r="BX119" s="466"/>
      <c r="BY119" s="466"/>
      <c r="BZ119" s="466"/>
      <c r="CA119" s="466"/>
      <c r="CB119" s="466"/>
      <c r="CC119" s="467"/>
      <c r="CD119" s="504"/>
      <c r="CE119" s="466"/>
      <c r="CF119" s="466"/>
      <c r="CG119" s="466"/>
      <c r="CH119" s="466"/>
      <c r="CI119" s="466"/>
      <c r="CJ119" s="466"/>
      <c r="CK119" s="466"/>
      <c r="CL119" s="467"/>
      <c r="CM119" s="504" t="s">
        <v>46</v>
      </c>
      <c r="CN119" s="466"/>
      <c r="CO119" s="466"/>
      <c r="CP119" s="466"/>
      <c r="CQ119" s="466"/>
      <c r="CR119" s="466"/>
      <c r="CS119" s="466"/>
      <c r="CT119" s="466"/>
      <c r="CU119" s="474"/>
    </row>
    <row r="120" spans="1:99" ht="15.75" x14ac:dyDescent="0.25">
      <c r="A120" s="477" t="s">
        <v>316</v>
      </c>
      <c r="B120" s="478"/>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78"/>
      <c r="AM120" s="478"/>
      <c r="AN120" s="478"/>
      <c r="AO120" s="478"/>
      <c r="AP120" s="478"/>
      <c r="AQ120" s="478"/>
      <c r="AR120" s="478"/>
      <c r="AS120" s="478"/>
      <c r="AT120" s="478"/>
      <c r="AU120" s="479"/>
      <c r="AV120" s="355"/>
      <c r="AW120" s="355"/>
      <c r="AX120" s="355"/>
      <c r="AY120" s="463"/>
      <c r="AZ120" s="465"/>
      <c r="BA120" s="355"/>
      <c r="BB120" s="355"/>
      <c r="BC120" s="355"/>
      <c r="BD120" s="355"/>
      <c r="BE120" s="463"/>
      <c r="BF120" s="465"/>
      <c r="BG120" s="355"/>
      <c r="BH120" s="355"/>
      <c r="BI120" s="355"/>
      <c r="BJ120" s="355"/>
      <c r="BK120" s="463"/>
      <c r="BL120" s="471"/>
      <c r="BM120" s="472"/>
      <c r="BN120" s="472"/>
      <c r="BO120" s="472"/>
      <c r="BP120" s="472"/>
      <c r="BQ120" s="472"/>
      <c r="BR120" s="472"/>
      <c r="BS120" s="472"/>
      <c r="BT120" s="473"/>
      <c r="BU120" s="471"/>
      <c r="BV120" s="472"/>
      <c r="BW120" s="472"/>
      <c r="BX120" s="472"/>
      <c r="BY120" s="472"/>
      <c r="BZ120" s="472"/>
      <c r="CA120" s="472"/>
      <c r="CB120" s="472"/>
      <c r="CC120" s="473"/>
      <c r="CD120" s="471"/>
      <c r="CE120" s="472"/>
      <c r="CF120" s="472"/>
      <c r="CG120" s="472"/>
      <c r="CH120" s="472"/>
      <c r="CI120" s="472"/>
      <c r="CJ120" s="472"/>
      <c r="CK120" s="472"/>
      <c r="CL120" s="473"/>
      <c r="CM120" s="471"/>
      <c r="CN120" s="472"/>
      <c r="CO120" s="472"/>
      <c r="CP120" s="472"/>
      <c r="CQ120" s="472"/>
      <c r="CR120" s="472"/>
      <c r="CS120" s="472"/>
      <c r="CT120" s="472"/>
      <c r="CU120" s="476"/>
    </row>
    <row r="121" spans="1:99" ht="16.5" customHeight="1" x14ac:dyDescent="0.25">
      <c r="A121" s="489" t="s">
        <v>317</v>
      </c>
      <c r="B121" s="490"/>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0"/>
      <c r="AL121" s="490"/>
      <c r="AM121" s="490"/>
      <c r="AN121" s="490"/>
      <c r="AO121" s="490"/>
      <c r="AP121" s="490"/>
      <c r="AQ121" s="490"/>
      <c r="AR121" s="490"/>
      <c r="AS121" s="490"/>
      <c r="AT121" s="490"/>
      <c r="AU121" s="491"/>
      <c r="AV121" s="492" t="s">
        <v>318</v>
      </c>
      <c r="AW121" s="493"/>
      <c r="AX121" s="493"/>
      <c r="AY121" s="493"/>
      <c r="AZ121" s="493" t="s">
        <v>46</v>
      </c>
      <c r="BA121" s="493"/>
      <c r="BB121" s="493"/>
      <c r="BC121" s="493"/>
      <c r="BD121" s="493"/>
      <c r="BE121" s="493"/>
      <c r="BF121" s="493"/>
      <c r="BG121" s="493"/>
      <c r="BH121" s="493"/>
      <c r="BI121" s="493"/>
      <c r="BJ121" s="493"/>
      <c r="BK121" s="493"/>
      <c r="BL121" s="494"/>
      <c r="BM121" s="494"/>
      <c r="BN121" s="494"/>
      <c r="BO121" s="494"/>
      <c r="BP121" s="494"/>
      <c r="BQ121" s="494"/>
      <c r="BR121" s="494"/>
      <c r="BS121" s="494"/>
      <c r="BT121" s="494"/>
      <c r="BU121" s="494"/>
      <c r="BV121" s="494"/>
      <c r="BW121" s="494"/>
      <c r="BX121" s="494"/>
      <c r="BY121" s="494"/>
      <c r="BZ121" s="494"/>
      <c r="CA121" s="494"/>
      <c r="CB121" s="494"/>
      <c r="CC121" s="494"/>
      <c r="CD121" s="494"/>
      <c r="CE121" s="494"/>
      <c r="CF121" s="494"/>
      <c r="CG121" s="494"/>
      <c r="CH121" s="494"/>
      <c r="CI121" s="494"/>
      <c r="CJ121" s="494"/>
      <c r="CK121" s="494"/>
      <c r="CL121" s="494"/>
      <c r="CM121" s="494" t="s">
        <v>46</v>
      </c>
      <c r="CN121" s="494"/>
      <c r="CO121" s="494"/>
      <c r="CP121" s="494"/>
      <c r="CQ121" s="494"/>
      <c r="CR121" s="494"/>
      <c r="CS121" s="494"/>
      <c r="CT121" s="494"/>
      <c r="CU121" s="495"/>
    </row>
    <row r="122" spans="1:99" ht="15.75" x14ac:dyDescent="0.25">
      <c r="A122" s="458" t="s">
        <v>319</v>
      </c>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60"/>
      <c r="AV122" s="441" t="s">
        <v>320</v>
      </c>
      <c r="AW122" s="441"/>
      <c r="AX122" s="441"/>
      <c r="AY122" s="442"/>
      <c r="AZ122" s="443" t="s">
        <v>321</v>
      </c>
      <c r="BA122" s="441"/>
      <c r="BB122" s="441"/>
      <c r="BC122" s="441"/>
      <c r="BD122" s="441"/>
      <c r="BE122" s="442"/>
      <c r="BF122" s="443"/>
      <c r="BG122" s="441"/>
      <c r="BH122" s="441"/>
      <c r="BI122" s="441"/>
      <c r="BJ122" s="441"/>
      <c r="BK122" s="442"/>
      <c r="BL122" s="504"/>
      <c r="BM122" s="466"/>
      <c r="BN122" s="466"/>
      <c r="BO122" s="466"/>
      <c r="BP122" s="466"/>
      <c r="BQ122" s="466"/>
      <c r="BR122" s="466"/>
      <c r="BS122" s="466"/>
      <c r="BT122" s="467"/>
      <c r="BU122" s="504"/>
      <c r="BV122" s="466"/>
      <c r="BW122" s="466"/>
      <c r="BX122" s="466"/>
      <c r="BY122" s="466"/>
      <c r="BZ122" s="466"/>
      <c r="CA122" s="466"/>
      <c r="CB122" s="466"/>
      <c r="CC122" s="467"/>
      <c r="CD122" s="504"/>
      <c r="CE122" s="466"/>
      <c r="CF122" s="466"/>
      <c r="CG122" s="466"/>
      <c r="CH122" s="466"/>
      <c r="CI122" s="466"/>
      <c r="CJ122" s="466"/>
      <c r="CK122" s="466"/>
      <c r="CL122" s="467"/>
      <c r="CM122" s="504" t="s">
        <v>46</v>
      </c>
      <c r="CN122" s="466"/>
      <c r="CO122" s="466"/>
      <c r="CP122" s="466"/>
      <c r="CQ122" s="466"/>
      <c r="CR122" s="466"/>
      <c r="CS122" s="466"/>
      <c r="CT122" s="466"/>
      <c r="CU122" s="474"/>
    </row>
    <row r="123" spans="1:99" ht="15.75" x14ac:dyDescent="0.25">
      <c r="A123" s="477" t="s">
        <v>322</v>
      </c>
      <c r="B123" s="478"/>
      <c r="C123" s="478"/>
      <c r="D123" s="478"/>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8"/>
      <c r="AP123" s="478"/>
      <c r="AQ123" s="478"/>
      <c r="AR123" s="478"/>
      <c r="AS123" s="478"/>
      <c r="AT123" s="478"/>
      <c r="AU123" s="479"/>
      <c r="AV123" s="355"/>
      <c r="AW123" s="355"/>
      <c r="AX123" s="355"/>
      <c r="AY123" s="463"/>
      <c r="AZ123" s="465"/>
      <c r="BA123" s="355"/>
      <c r="BB123" s="355"/>
      <c r="BC123" s="355"/>
      <c r="BD123" s="355"/>
      <c r="BE123" s="463"/>
      <c r="BF123" s="465"/>
      <c r="BG123" s="355"/>
      <c r="BH123" s="355"/>
      <c r="BI123" s="355"/>
      <c r="BJ123" s="355"/>
      <c r="BK123" s="463"/>
      <c r="BL123" s="471"/>
      <c r="BM123" s="472"/>
      <c r="BN123" s="472"/>
      <c r="BO123" s="472"/>
      <c r="BP123" s="472"/>
      <c r="BQ123" s="472"/>
      <c r="BR123" s="472"/>
      <c r="BS123" s="472"/>
      <c r="BT123" s="473"/>
      <c r="BU123" s="471"/>
      <c r="BV123" s="472"/>
      <c r="BW123" s="472"/>
      <c r="BX123" s="472"/>
      <c r="BY123" s="472"/>
      <c r="BZ123" s="472"/>
      <c r="CA123" s="472"/>
      <c r="CB123" s="472"/>
      <c r="CC123" s="473"/>
      <c r="CD123" s="471"/>
      <c r="CE123" s="472"/>
      <c r="CF123" s="472"/>
      <c r="CG123" s="472"/>
      <c r="CH123" s="472"/>
      <c r="CI123" s="472"/>
      <c r="CJ123" s="472"/>
      <c r="CK123" s="472"/>
      <c r="CL123" s="473"/>
      <c r="CM123" s="471"/>
      <c r="CN123" s="472"/>
      <c r="CO123" s="472"/>
      <c r="CP123" s="472"/>
      <c r="CQ123" s="472"/>
      <c r="CR123" s="472"/>
      <c r="CS123" s="472"/>
      <c r="CT123" s="472"/>
      <c r="CU123" s="476"/>
    </row>
    <row r="124" spans="1:99" ht="20.25" customHeight="1" x14ac:dyDescent="0.25">
      <c r="A124" s="595" t="s">
        <v>577</v>
      </c>
      <c r="B124" s="596"/>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6"/>
      <c r="AL124" s="596"/>
      <c r="AM124" s="596"/>
      <c r="AN124" s="596"/>
      <c r="AO124" s="596"/>
      <c r="AP124" s="596"/>
      <c r="AQ124" s="596"/>
      <c r="AR124" s="596"/>
      <c r="AS124" s="596"/>
      <c r="AT124" s="596"/>
      <c r="AU124" s="597"/>
      <c r="AV124" s="598" t="s">
        <v>323</v>
      </c>
      <c r="AW124" s="599"/>
      <c r="AX124" s="599"/>
      <c r="AY124" s="599"/>
      <c r="AZ124" s="599" t="s">
        <v>46</v>
      </c>
      <c r="BA124" s="599"/>
      <c r="BB124" s="599"/>
      <c r="BC124" s="599"/>
      <c r="BD124" s="599"/>
      <c r="BE124" s="599"/>
      <c r="BF124" s="599" t="s">
        <v>470</v>
      </c>
      <c r="BG124" s="599"/>
      <c r="BH124" s="599"/>
      <c r="BI124" s="599"/>
      <c r="BJ124" s="599"/>
      <c r="BK124" s="599"/>
      <c r="BL124" s="600">
        <f>BL125+BL127+BL129+BL131+BL144</f>
        <v>14135325.469999999</v>
      </c>
      <c r="BM124" s="601"/>
      <c r="BN124" s="601"/>
      <c r="BO124" s="601"/>
      <c r="BP124" s="601"/>
      <c r="BQ124" s="601"/>
      <c r="BR124" s="601"/>
      <c r="BS124" s="601"/>
      <c r="BT124" s="601"/>
      <c r="BU124" s="600">
        <f t="shared" ref="BU124" si="16">BU125+BU127+BU129+BU131+BU144</f>
        <v>13836574.800000001</v>
      </c>
      <c r="BV124" s="601"/>
      <c r="BW124" s="601"/>
      <c r="BX124" s="601"/>
      <c r="BY124" s="601"/>
      <c r="BZ124" s="601"/>
      <c r="CA124" s="601"/>
      <c r="CB124" s="601"/>
      <c r="CC124" s="601"/>
      <c r="CD124" s="600">
        <f t="shared" ref="CD124" si="17">CD125+CD127+CD129+CD131+CD144</f>
        <v>17473168.09</v>
      </c>
      <c r="CE124" s="601"/>
      <c r="CF124" s="601"/>
      <c r="CG124" s="601"/>
      <c r="CH124" s="601"/>
      <c r="CI124" s="601"/>
      <c r="CJ124" s="601"/>
      <c r="CK124" s="601"/>
      <c r="CL124" s="601"/>
      <c r="CM124" s="600">
        <f t="shared" ref="CM124" si="18">CM125+CM127+CM129+CM131</f>
        <v>0</v>
      </c>
      <c r="CN124" s="601"/>
      <c r="CO124" s="601"/>
      <c r="CP124" s="601"/>
      <c r="CQ124" s="601"/>
      <c r="CR124" s="601"/>
      <c r="CS124" s="601"/>
      <c r="CT124" s="601"/>
      <c r="CU124" s="602"/>
    </row>
    <row r="125" spans="1:99" ht="15.75" x14ac:dyDescent="0.25">
      <c r="A125" s="458" t="s">
        <v>2</v>
      </c>
      <c r="B125" s="459"/>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60"/>
      <c r="AV125" s="441" t="s">
        <v>324</v>
      </c>
      <c r="AW125" s="441"/>
      <c r="AX125" s="441"/>
      <c r="AY125" s="442"/>
      <c r="AZ125" s="443" t="s">
        <v>325</v>
      </c>
      <c r="BA125" s="441"/>
      <c r="BB125" s="441"/>
      <c r="BC125" s="441"/>
      <c r="BD125" s="441"/>
      <c r="BE125" s="442"/>
      <c r="BF125" s="443"/>
      <c r="BG125" s="441"/>
      <c r="BH125" s="441"/>
      <c r="BI125" s="441"/>
      <c r="BJ125" s="441"/>
      <c r="BK125" s="442"/>
      <c r="BL125" s="504"/>
      <c r="BM125" s="466"/>
      <c r="BN125" s="466"/>
      <c r="BO125" s="466"/>
      <c r="BP125" s="466"/>
      <c r="BQ125" s="466"/>
      <c r="BR125" s="466"/>
      <c r="BS125" s="466"/>
      <c r="BT125" s="467"/>
      <c r="BU125" s="504"/>
      <c r="BV125" s="466"/>
      <c r="BW125" s="466"/>
      <c r="BX125" s="466"/>
      <c r="BY125" s="466"/>
      <c r="BZ125" s="466"/>
      <c r="CA125" s="466"/>
      <c r="CB125" s="466"/>
      <c r="CC125" s="467"/>
      <c r="CD125" s="504"/>
      <c r="CE125" s="466"/>
      <c r="CF125" s="466"/>
      <c r="CG125" s="466"/>
      <c r="CH125" s="466"/>
      <c r="CI125" s="466"/>
      <c r="CJ125" s="466"/>
      <c r="CK125" s="466"/>
      <c r="CL125" s="467"/>
      <c r="CM125" s="603"/>
      <c r="CN125" s="604"/>
      <c r="CO125" s="604"/>
      <c r="CP125" s="604"/>
      <c r="CQ125" s="604"/>
      <c r="CR125" s="604"/>
      <c r="CS125" s="604"/>
      <c r="CT125" s="604"/>
      <c r="CU125" s="605"/>
    </row>
    <row r="126" spans="1:99" ht="15.75" x14ac:dyDescent="0.25">
      <c r="A126" s="477" t="s">
        <v>326</v>
      </c>
      <c r="B126" s="478"/>
      <c r="C126" s="478"/>
      <c r="D126" s="478"/>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c r="AC126" s="478"/>
      <c r="AD126" s="478"/>
      <c r="AE126" s="478"/>
      <c r="AF126" s="478"/>
      <c r="AG126" s="478"/>
      <c r="AH126" s="478"/>
      <c r="AI126" s="478"/>
      <c r="AJ126" s="478"/>
      <c r="AK126" s="478"/>
      <c r="AL126" s="478"/>
      <c r="AM126" s="478"/>
      <c r="AN126" s="478"/>
      <c r="AO126" s="478"/>
      <c r="AP126" s="478"/>
      <c r="AQ126" s="478"/>
      <c r="AR126" s="478"/>
      <c r="AS126" s="478"/>
      <c r="AT126" s="478"/>
      <c r="AU126" s="479"/>
      <c r="AV126" s="355"/>
      <c r="AW126" s="355"/>
      <c r="AX126" s="355"/>
      <c r="AY126" s="463"/>
      <c r="AZ126" s="465"/>
      <c r="BA126" s="355"/>
      <c r="BB126" s="355"/>
      <c r="BC126" s="355"/>
      <c r="BD126" s="355"/>
      <c r="BE126" s="463"/>
      <c r="BF126" s="465"/>
      <c r="BG126" s="355"/>
      <c r="BH126" s="355"/>
      <c r="BI126" s="355"/>
      <c r="BJ126" s="355"/>
      <c r="BK126" s="463"/>
      <c r="BL126" s="471"/>
      <c r="BM126" s="472"/>
      <c r="BN126" s="472"/>
      <c r="BO126" s="472"/>
      <c r="BP126" s="472"/>
      <c r="BQ126" s="472"/>
      <c r="BR126" s="472"/>
      <c r="BS126" s="472"/>
      <c r="BT126" s="473"/>
      <c r="BU126" s="471"/>
      <c r="BV126" s="472"/>
      <c r="BW126" s="472"/>
      <c r="BX126" s="472"/>
      <c r="BY126" s="472"/>
      <c r="BZ126" s="472"/>
      <c r="CA126" s="472"/>
      <c r="CB126" s="472"/>
      <c r="CC126" s="473"/>
      <c r="CD126" s="471"/>
      <c r="CE126" s="472"/>
      <c r="CF126" s="472"/>
      <c r="CG126" s="472"/>
      <c r="CH126" s="472"/>
      <c r="CI126" s="472"/>
      <c r="CJ126" s="472"/>
      <c r="CK126" s="472"/>
      <c r="CL126" s="473"/>
      <c r="CM126" s="606"/>
      <c r="CN126" s="607"/>
      <c r="CO126" s="607"/>
      <c r="CP126" s="607"/>
      <c r="CQ126" s="607"/>
      <c r="CR126" s="607"/>
      <c r="CS126" s="607"/>
      <c r="CT126" s="607"/>
      <c r="CU126" s="608"/>
    </row>
    <row r="127" spans="1:99" ht="15.75" x14ac:dyDescent="0.25">
      <c r="A127" s="458" t="s">
        <v>327</v>
      </c>
      <c r="B127" s="45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c r="AO127" s="459"/>
      <c r="AP127" s="459"/>
      <c r="AQ127" s="459"/>
      <c r="AR127" s="459"/>
      <c r="AS127" s="459"/>
      <c r="AT127" s="459"/>
      <c r="AU127" s="460"/>
      <c r="AV127" s="441" t="s">
        <v>328</v>
      </c>
      <c r="AW127" s="441"/>
      <c r="AX127" s="441"/>
      <c r="AY127" s="442"/>
      <c r="AZ127" s="443" t="s">
        <v>329</v>
      </c>
      <c r="BA127" s="441"/>
      <c r="BB127" s="441"/>
      <c r="BC127" s="441"/>
      <c r="BD127" s="441"/>
      <c r="BE127" s="442"/>
      <c r="BF127" s="443"/>
      <c r="BG127" s="441"/>
      <c r="BH127" s="441"/>
      <c r="BI127" s="441"/>
      <c r="BJ127" s="441"/>
      <c r="BK127" s="442"/>
      <c r="BL127" s="504"/>
      <c r="BM127" s="466"/>
      <c r="BN127" s="466"/>
      <c r="BO127" s="466"/>
      <c r="BP127" s="466"/>
      <c r="BQ127" s="466"/>
      <c r="BR127" s="466"/>
      <c r="BS127" s="466"/>
      <c r="BT127" s="467"/>
      <c r="BU127" s="504"/>
      <c r="BV127" s="466"/>
      <c r="BW127" s="466"/>
      <c r="BX127" s="466"/>
      <c r="BY127" s="466"/>
      <c r="BZ127" s="466"/>
      <c r="CA127" s="466"/>
      <c r="CB127" s="466"/>
      <c r="CC127" s="467"/>
      <c r="CD127" s="504"/>
      <c r="CE127" s="466"/>
      <c r="CF127" s="466"/>
      <c r="CG127" s="466"/>
      <c r="CH127" s="466"/>
      <c r="CI127" s="466"/>
      <c r="CJ127" s="466"/>
      <c r="CK127" s="466"/>
      <c r="CL127" s="467"/>
      <c r="CM127" s="603"/>
      <c r="CN127" s="604"/>
      <c r="CO127" s="604"/>
      <c r="CP127" s="604"/>
      <c r="CQ127" s="604"/>
      <c r="CR127" s="604"/>
      <c r="CS127" s="604"/>
      <c r="CT127" s="604"/>
      <c r="CU127" s="605"/>
    </row>
    <row r="128" spans="1:99" ht="15.75" x14ac:dyDescent="0.25">
      <c r="A128" s="477" t="s">
        <v>330</v>
      </c>
      <c r="B128" s="478"/>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8"/>
      <c r="AK128" s="478"/>
      <c r="AL128" s="478"/>
      <c r="AM128" s="478"/>
      <c r="AN128" s="478"/>
      <c r="AO128" s="478"/>
      <c r="AP128" s="478"/>
      <c r="AQ128" s="478"/>
      <c r="AR128" s="478"/>
      <c r="AS128" s="478"/>
      <c r="AT128" s="478"/>
      <c r="AU128" s="479"/>
      <c r="AV128" s="355"/>
      <c r="AW128" s="355"/>
      <c r="AX128" s="355"/>
      <c r="AY128" s="463"/>
      <c r="AZ128" s="465"/>
      <c r="BA128" s="355"/>
      <c r="BB128" s="355"/>
      <c r="BC128" s="355"/>
      <c r="BD128" s="355"/>
      <c r="BE128" s="463"/>
      <c r="BF128" s="465"/>
      <c r="BG128" s="355"/>
      <c r="BH128" s="355"/>
      <c r="BI128" s="355"/>
      <c r="BJ128" s="355"/>
      <c r="BK128" s="463"/>
      <c r="BL128" s="471"/>
      <c r="BM128" s="472"/>
      <c r="BN128" s="472"/>
      <c r="BO128" s="472"/>
      <c r="BP128" s="472"/>
      <c r="BQ128" s="472"/>
      <c r="BR128" s="472"/>
      <c r="BS128" s="472"/>
      <c r="BT128" s="473"/>
      <c r="BU128" s="471"/>
      <c r="BV128" s="472"/>
      <c r="BW128" s="472"/>
      <c r="BX128" s="472"/>
      <c r="BY128" s="472"/>
      <c r="BZ128" s="472"/>
      <c r="CA128" s="472"/>
      <c r="CB128" s="472"/>
      <c r="CC128" s="473"/>
      <c r="CD128" s="471"/>
      <c r="CE128" s="472"/>
      <c r="CF128" s="472"/>
      <c r="CG128" s="472"/>
      <c r="CH128" s="472"/>
      <c r="CI128" s="472"/>
      <c r="CJ128" s="472"/>
      <c r="CK128" s="472"/>
      <c r="CL128" s="473"/>
      <c r="CM128" s="606"/>
      <c r="CN128" s="607"/>
      <c r="CO128" s="607"/>
      <c r="CP128" s="607"/>
      <c r="CQ128" s="607"/>
      <c r="CR128" s="607"/>
      <c r="CS128" s="607"/>
      <c r="CT128" s="607"/>
      <c r="CU128" s="608"/>
    </row>
    <row r="129" spans="1:105" ht="15.75" x14ac:dyDescent="0.25">
      <c r="A129" s="458" t="s">
        <v>331</v>
      </c>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60"/>
      <c r="AV129" s="441" t="s">
        <v>332</v>
      </c>
      <c r="AW129" s="441"/>
      <c r="AX129" s="441"/>
      <c r="AY129" s="442"/>
      <c r="AZ129" s="443" t="s">
        <v>63</v>
      </c>
      <c r="BA129" s="441"/>
      <c r="BB129" s="441"/>
      <c r="BC129" s="441"/>
      <c r="BD129" s="441"/>
      <c r="BE129" s="442"/>
      <c r="BF129" s="443"/>
      <c r="BG129" s="441"/>
      <c r="BH129" s="441"/>
      <c r="BI129" s="441"/>
      <c r="BJ129" s="441"/>
      <c r="BK129" s="442"/>
      <c r="BL129" s="444">
        <f>'5 (2025)'!E22</f>
        <v>0</v>
      </c>
      <c r="BM129" s="466"/>
      <c r="BN129" s="466"/>
      <c r="BO129" s="466"/>
      <c r="BP129" s="466"/>
      <c r="BQ129" s="466"/>
      <c r="BR129" s="466"/>
      <c r="BS129" s="466"/>
      <c r="BT129" s="467"/>
      <c r="BU129" s="444">
        <f>'5 (2026)'!E21</f>
        <v>0</v>
      </c>
      <c r="BV129" s="466"/>
      <c r="BW129" s="466"/>
      <c r="BX129" s="466"/>
      <c r="BY129" s="466"/>
      <c r="BZ129" s="466"/>
      <c r="CA129" s="466"/>
      <c r="CB129" s="466"/>
      <c r="CC129" s="467"/>
      <c r="CD129" s="444">
        <f>'5 (2027)'!E21</f>
        <v>0</v>
      </c>
      <c r="CE129" s="466"/>
      <c r="CF129" s="466"/>
      <c r="CG129" s="466"/>
      <c r="CH129" s="466"/>
      <c r="CI129" s="466"/>
      <c r="CJ129" s="466"/>
      <c r="CK129" s="466"/>
      <c r="CL129" s="467"/>
      <c r="CM129" s="603"/>
      <c r="CN129" s="604"/>
      <c r="CO129" s="604"/>
      <c r="CP129" s="604"/>
      <c r="CQ129" s="604"/>
      <c r="CR129" s="604"/>
      <c r="CS129" s="604"/>
      <c r="CT129" s="604"/>
      <c r="CU129" s="605"/>
    </row>
    <row r="130" spans="1:105" ht="15.75" x14ac:dyDescent="0.25">
      <c r="A130" s="477" t="s">
        <v>333</v>
      </c>
      <c r="B130" s="478"/>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c r="AJ130" s="478"/>
      <c r="AK130" s="478"/>
      <c r="AL130" s="478"/>
      <c r="AM130" s="478"/>
      <c r="AN130" s="478"/>
      <c r="AO130" s="478"/>
      <c r="AP130" s="478"/>
      <c r="AQ130" s="478"/>
      <c r="AR130" s="478"/>
      <c r="AS130" s="478"/>
      <c r="AT130" s="478"/>
      <c r="AU130" s="479"/>
      <c r="AV130" s="355"/>
      <c r="AW130" s="355"/>
      <c r="AX130" s="355"/>
      <c r="AY130" s="463"/>
      <c r="AZ130" s="465"/>
      <c r="BA130" s="355"/>
      <c r="BB130" s="355"/>
      <c r="BC130" s="355"/>
      <c r="BD130" s="355"/>
      <c r="BE130" s="463"/>
      <c r="BF130" s="465"/>
      <c r="BG130" s="355"/>
      <c r="BH130" s="355"/>
      <c r="BI130" s="355"/>
      <c r="BJ130" s="355"/>
      <c r="BK130" s="463"/>
      <c r="BL130" s="471"/>
      <c r="BM130" s="472"/>
      <c r="BN130" s="472"/>
      <c r="BO130" s="472"/>
      <c r="BP130" s="472"/>
      <c r="BQ130" s="472"/>
      <c r="BR130" s="472"/>
      <c r="BS130" s="472"/>
      <c r="BT130" s="473"/>
      <c r="BU130" s="471"/>
      <c r="BV130" s="472"/>
      <c r="BW130" s="472"/>
      <c r="BX130" s="472"/>
      <c r="BY130" s="472"/>
      <c r="BZ130" s="472"/>
      <c r="CA130" s="472"/>
      <c r="CB130" s="472"/>
      <c r="CC130" s="473"/>
      <c r="CD130" s="471"/>
      <c r="CE130" s="472"/>
      <c r="CF130" s="472"/>
      <c r="CG130" s="472"/>
      <c r="CH130" s="472"/>
      <c r="CI130" s="472"/>
      <c r="CJ130" s="472"/>
      <c r="CK130" s="472"/>
      <c r="CL130" s="473"/>
      <c r="CM130" s="606"/>
      <c r="CN130" s="607"/>
      <c r="CO130" s="607"/>
      <c r="CP130" s="607"/>
      <c r="CQ130" s="607"/>
      <c r="CR130" s="607"/>
      <c r="CS130" s="607"/>
      <c r="CT130" s="607"/>
      <c r="CU130" s="608"/>
    </row>
    <row r="131" spans="1:105" ht="22.5" customHeight="1" thickBot="1" x14ac:dyDescent="0.3">
      <c r="A131" s="609" t="s">
        <v>334</v>
      </c>
      <c r="B131" s="610"/>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1"/>
      <c r="AV131" s="573" t="s">
        <v>335</v>
      </c>
      <c r="AW131" s="574"/>
      <c r="AX131" s="574"/>
      <c r="AY131" s="574"/>
      <c r="AZ131" s="575" t="s">
        <v>49</v>
      </c>
      <c r="BA131" s="575"/>
      <c r="BB131" s="575"/>
      <c r="BC131" s="575"/>
      <c r="BD131" s="575"/>
      <c r="BE131" s="575"/>
      <c r="BF131" s="574" t="s">
        <v>470</v>
      </c>
      <c r="BG131" s="574"/>
      <c r="BH131" s="574"/>
      <c r="BI131" s="574"/>
      <c r="BJ131" s="574"/>
      <c r="BK131" s="574"/>
      <c r="BL131" s="576">
        <f>SUM(BL133:BT143)</f>
        <v>9119004.4699999988</v>
      </c>
      <c r="BM131" s="577"/>
      <c r="BN131" s="577"/>
      <c r="BO131" s="577"/>
      <c r="BP131" s="577"/>
      <c r="BQ131" s="577"/>
      <c r="BR131" s="577"/>
      <c r="BS131" s="577"/>
      <c r="BT131" s="577"/>
      <c r="BU131" s="576">
        <f t="shared" ref="BU131" si="19">SUM(BU133:CC143)</f>
        <v>8820253.8000000007</v>
      </c>
      <c r="BV131" s="577"/>
      <c r="BW131" s="577"/>
      <c r="BX131" s="577"/>
      <c r="BY131" s="577"/>
      <c r="BZ131" s="577"/>
      <c r="CA131" s="577"/>
      <c r="CB131" s="577"/>
      <c r="CC131" s="577"/>
      <c r="CD131" s="576">
        <f t="shared" ref="CD131" si="20">SUM(CD133:CL143)</f>
        <v>12190408.439999999</v>
      </c>
      <c r="CE131" s="577"/>
      <c r="CF131" s="577"/>
      <c r="CG131" s="577"/>
      <c r="CH131" s="577"/>
      <c r="CI131" s="577"/>
      <c r="CJ131" s="577"/>
      <c r="CK131" s="577"/>
      <c r="CL131" s="577"/>
      <c r="CM131" s="576">
        <f>SUM(CM133:CU141)</f>
        <v>0</v>
      </c>
      <c r="CN131" s="577"/>
      <c r="CO131" s="577"/>
      <c r="CP131" s="577"/>
      <c r="CQ131" s="577"/>
      <c r="CR131" s="577"/>
      <c r="CS131" s="577"/>
      <c r="CT131" s="577"/>
      <c r="CU131" s="578"/>
    </row>
    <row r="132" spans="1:105" ht="15.75" x14ac:dyDescent="0.25">
      <c r="A132" s="612" t="s">
        <v>4</v>
      </c>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4"/>
      <c r="AW132" s="614"/>
      <c r="AX132" s="614"/>
      <c r="AY132" s="614"/>
      <c r="AZ132" s="614"/>
      <c r="BA132" s="614"/>
      <c r="BB132" s="614"/>
      <c r="BC132" s="614"/>
      <c r="BD132" s="614"/>
      <c r="BE132" s="614"/>
      <c r="BF132" s="614"/>
      <c r="BG132" s="614"/>
      <c r="BH132" s="614"/>
      <c r="BI132" s="614"/>
      <c r="BJ132" s="614"/>
      <c r="BK132" s="614"/>
      <c r="BL132" s="614"/>
      <c r="BM132" s="614"/>
      <c r="BN132" s="614"/>
      <c r="BO132" s="614"/>
      <c r="BP132" s="614"/>
      <c r="BQ132" s="614"/>
      <c r="BR132" s="614"/>
      <c r="BS132" s="614"/>
      <c r="BT132" s="614"/>
      <c r="BU132" s="614"/>
      <c r="BV132" s="614"/>
      <c r="BW132" s="614"/>
      <c r="BX132" s="614"/>
      <c r="BY132" s="614"/>
      <c r="BZ132" s="614"/>
      <c r="CA132" s="614"/>
      <c r="CB132" s="614"/>
      <c r="CC132" s="614"/>
      <c r="CD132" s="614"/>
      <c r="CE132" s="614"/>
      <c r="CF132" s="614"/>
      <c r="CG132" s="614"/>
      <c r="CH132" s="614"/>
      <c r="CI132" s="614"/>
      <c r="CJ132" s="614"/>
      <c r="CK132" s="614"/>
      <c r="CL132" s="614"/>
      <c r="CM132" s="614"/>
      <c r="CN132" s="614"/>
      <c r="CO132" s="614"/>
      <c r="CP132" s="614"/>
      <c r="CQ132" s="614"/>
      <c r="CR132" s="614"/>
      <c r="CS132" s="614"/>
      <c r="CT132" s="614"/>
      <c r="CU132" s="615"/>
    </row>
    <row r="133" spans="1:105" ht="24.75" hidden="1" customHeight="1" x14ac:dyDescent="0.25">
      <c r="A133" s="337" t="s">
        <v>471</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338"/>
      <c r="AK133" s="338"/>
      <c r="AL133" s="338"/>
      <c r="AM133" s="338"/>
      <c r="AN133" s="338"/>
      <c r="AO133" s="338"/>
      <c r="AP133" s="338"/>
      <c r="AQ133" s="338"/>
      <c r="AR133" s="338"/>
      <c r="AS133" s="338"/>
      <c r="AT133" s="338"/>
      <c r="AU133" s="338"/>
      <c r="AV133" s="339" t="s">
        <v>472</v>
      </c>
      <c r="AW133" s="340"/>
      <c r="AX133" s="340"/>
      <c r="AY133" s="340"/>
      <c r="AZ133" s="340" t="s">
        <v>49</v>
      </c>
      <c r="BA133" s="340"/>
      <c r="BB133" s="340"/>
      <c r="BC133" s="340"/>
      <c r="BD133" s="340"/>
      <c r="BE133" s="340"/>
      <c r="BF133" s="340" t="s">
        <v>113</v>
      </c>
      <c r="BG133" s="340"/>
      <c r="BH133" s="340"/>
      <c r="BI133" s="340"/>
      <c r="BJ133" s="340"/>
      <c r="BK133" s="340"/>
      <c r="BL133" s="341">
        <f>'4 (2025)'!F21+ВБ!F20+'ОСТАТКИ МЗ'!F21+'ОСТАТКИ ВБ'!F20</f>
        <v>44400</v>
      </c>
      <c r="BM133" s="342"/>
      <c r="BN133" s="342"/>
      <c r="BO133" s="342"/>
      <c r="BP133" s="342"/>
      <c r="BQ133" s="342"/>
      <c r="BR133" s="342"/>
      <c r="BS133" s="342"/>
      <c r="BT133" s="342"/>
      <c r="BU133" s="341">
        <f>'4 (2026)'!F21+ВБ!F20</f>
        <v>44400</v>
      </c>
      <c r="BV133" s="342"/>
      <c r="BW133" s="342"/>
      <c r="BX133" s="342"/>
      <c r="BY133" s="342"/>
      <c r="BZ133" s="342"/>
      <c r="CA133" s="342"/>
      <c r="CB133" s="342"/>
      <c r="CC133" s="342"/>
      <c r="CD133" s="341">
        <f>'4 (2027)'!F21+ВБ!F20</f>
        <v>46812.03</v>
      </c>
      <c r="CE133" s="342"/>
      <c r="CF133" s="342"/>
      <c r="CG133" s="342"/>
      <c r="CH133" s="342"/>
      <c r="CI133" s="342"/>
      <c r="CJ133" s="342"/>
      <c r="CK133" s="342"/>
      <c r="CL133" s="342"/>
      <c r="CM133" s="343"/>
      <c r="CN133" s="344"/>
      <c r="CO133" s="344"/>
      <c r="CP133" s="344"/>
      <c r="CQ133" s="344"/>
      <c r="CR133" s="344"/>
      <c r="CS133" s="344"/>
      <c r="CT133" s="344"/>
      <c r="CU133" s="345"/>
    </row>
    <row r="134" spans="1:105" ht="24.75" hidden="1" customHeight="1" x14ac:dyDescent="0.25">
      <c r="A134" s="337" t="s">
        <v>475</v>
      </c>
      <c r="B134" s="338"/>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38"/>
      <c r="AK134" s="338"/>
      <c r="AL134" s="338"/>
      <c r="AM134" s="338"/>
      <c r="AN134" s="338"/>
      <c r="AO134" s="338"/>
      <c r="AP134" s="338"/>
      <c r="AQ134" s="338"/>
      <c r="AR134" s="338"/>
      <c r="AS134" s="338"/>
      <c r="AT134" s="338"/>
      <c r="AU134" s="338"/>
      <c r="AV134" s="339" t="s">
        <v>474</v>
      </c>
      <c r="AW134" s="340"/>
      <c r="AX134" s="340"/>
      <c r="AY134" s="340"/>
      <c r="AZ134" s="340" t="s">
        <v>49</v>
      </c>
      <c r="BA134" s="340"/>
      <c r="BB134" s="340"/>
      <c r="BC134" s="340"/>
      <c r="BD134" s="340"/>
      <c r="BE134" s="340"/>
      <c r="BF134" s="340" t="s">
        <v>60</v>
      </c>
      <c r="BG134" s="340"/>
      <c r="BH134" s="340"/>
      <c r="BI134" s="340"/>
      <c r="BJ134" s="340"/>
      <c r="BK134" s="340"/>
      <c r="BL134" s="341">
        <f>'4 (2025)'!F23+ВБ!F21+'ОСТАТКИ МЗ'!F22</f>
        <v>60000</v>
      </c>
      <c r="BM134" s="342"/>
      <c r="BN134" s="342"/>
      <c r="BO134" s="342"/>
      <c r="BP134" s="342"/>
      <c r="BQ134" s="342"/>
      <c r="BR134" s="342"/>
      <c r="BS134" s="342"/>
      <c r="BT134" s="342"/>
      <c r="BU134" s="341">
        <f>'4 (2026)'!F23+ВБ!F21</f>
        <v>60000</v>
      </c>
      <c r="BV134" s="342"/>
      <c r="BW134" s="342"/>
      <c r="BX134" s="342"/>
      <c r="BY134" s="342"/>
      <c r="BZ134" s="342"/>
      <c r="CA134" s="342"/>
      <c r="CB134" s="342"/>
      <c r="CC134" s="342"/>
      <c r="CD134" s="341">
        <f>'4 (2027)'!F23+ВБ!F21</f>
        <v>63259.5</v>
      </c>
      <c r="CE134" s="342"/>
      <c r="CF134" s="342"/>
      <c r="CG134" s="342"/>
      <c r="CH134" s="342"/>
      <c r="CI134" s="342"/>
      <c r="CJ134" s="342"/>
      <c r="CK134" s="342"/>
      <c r="CL134" s="342"/>
      <c r="CM134" s="343"/>
      <c r="CN134" s="344"/>
      <c r="CO134" s="344"/>
      <c r="CP134" s="344"/>
      <c r="CQ134" s="344"/>
      <c r="CR134" s="344"/>
      <c r="CS134" s="344"/>
      <c r="CT134" s="344"/>
      <c r="CU134" s="345"/>
    </row>
    <row r="135" spans="1:105" ht="21" hidden="1" customHeight="1" x14ac:dyDescent="0.25">
      <c r="A135" s="337" t="s">
        <v>473</v>
      </c>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9" t="s">
        <v>476</v>
      </c>
      <c r="AW135" s="340"/>
      <c r="AX135" s="340"/>
      <c r="AY135" s="340"/>
      <c r="AZ135" s="340" t="s">
        <v>49</v>
      </c>
      <c r="BA135" s="340"/>
      <c r="BB135" s="340"/>
      <c r="BC135" s="340"/>
      <c r="BD135" s="340"/>
      <c r="BE135" s="340"/>
      <c r="BF135" s="340" t="s">
        <v>69</v>
      </c>
      <c r="BG135" s="340"/>
      <c r="BH135" s="340"/>
      <c r="BI135" s="340"/>
      <c r="BJ135" s="340"/>
      <c r="BK135" s="340"/>
      <c r="BL135" s="341">
        <f>'ОСТАТКИ МЗ'!F25+'ОСТАТКИ МЗ'!F27+'4 (2025)'!F28</f>
        <v>83708</v>
      </c>
      <c r="BM135" s="342"/>
      <c r="BN135" s="342"/>
      <c r="BO135" s="342"/>
      <c r="BP135" s="342"/>
      <c r="BQ135" s="342"/>
      <c r="BR135" s="342"/>
      <c r="BS135" s="342"/>
      <c r="BT135" s="342"/>
      <c r="BU135" s="341">
        <f>'4 (2026)'!F28</f>
        <v>83708</v>
      </c>
      <c r="BV135" s="342"/>
      <c r="BW135" s="342"/>
      <c r="BX135" s="342"/>
      <c r="BY135" s="342"/>
      <c r="BZ135" s="342"/>
      <c r="CA135" s="342"/>
      <c r="CB135" s="342"/>
      <c r="CC135" s="342"/>
      <c r="CD135" s="341">
        <f>'4 (2027)'!F28</f>
        <v>88154.1</v>
      </c>
      <c r="CE135" s="342"/>
      <c r="CF135" s="342"/>
      <c r="CG135" s="342"/>
      <c r="CH135" s="342"/>
      <c r="CI135" s="342"/>
      <c r="CJ135" s="342"/>
      <c r="CK135" s="342"/>
      <c r="CL135" s="342"/>
      <c r="CM135" s="343"/>
      <c r="CN135" s="344"/>
      <c r="CO135" s="344"/>
      <c r="CP135" s="344"/>
      <c r="CQ135" s="344"/>
      <c r="CR135" s="344"/>
      <c r="CS135" s="344"/>
      <c r="CT135" s="344"/>
      <c r="CU135" s="345"/>
    </row>
    <row r="136" spans="1:105" ht="21.75" hidden="1" customHeight="1" x14ac:dyDescent="0.25">
      <c r="A136" s="337" t="s">
        <v>477</v>
      </c>
      <c r="B136" s="338"/>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c r="AN136" s="338"/>
      <c r="AO136" s="338"/>
      <c r="AP136" s="338"/>
      <c r="AQ136" s="338"/>
      <c r="AR136" s="338"/>
      <c r="AS136" s="338"/>
      <c r="AT136" s="338"/>
      <c r="AU136" s="338"/>
      <c r="AV136" s="339" t="s">
        <v>478</v>
      </c>
      <c r="AW136" s="340"/>
      <c r="AX136" s="340"/>
      <c r="AY136" s="340"/>
      <c r="AZ136" s="340" t="s">
        <v>49</v>
      </c>
      <c r="BA136" s="340"/>
      <c r="BB136" s="340"/>
      <c r="BC136" s="340"/>
      <c r="BD136" s="340"/>
      <c r="BE136" s="340"/>
      <c r="BF136" s="340" t="s">
        <v>104</v>
      </c>
      <c r="BG136" s="340"/>
      <c r="BH136" s="340"/>
      <c r="BI136" s="340"/>
      <c r="BJ136" s="340"/>
      <c r="BK136" s="340"/>
      <c r="BL136" s="341">
        <f>'ОСТАТКИ МЗ'!F28+ВБ!F26+'4 (2025)'!F29+'5 (2025)'!E21+'ОСТАТКИ ВБ'!F26</f>
        <v>1129825.6100000001</v>
      </c>
      <c r="BM136" s="342"/>
      <c r="BN136" s="342"/>
      <c r="BO136" s="342"/>
      <c r="BP136" s="342"/>
      <c r="BQ136" s="342"/>
      <c r="BR136" s="342"/>
      <c r="BS136" s="342"/>
      <c r="BT136" s="342"/>
      <c r="BU136" s="341">
        <f>'4 (2026)'!F29+'5 (2026)'!E20+ВБ!F26</f>
        <v>1119598</v>
      </c>
      <c r="BV136" s="342"/>
      <c r="BW136" s="342"/>
      <c r="BX136" s="342"/>
      <c r="BY136" s="342"/>
      <c r="BZ136" s="342"/>
      <c r="CA136" s="342"/>
      <c r="CB136" s="342"/>
      <c r="CC136" s="342"/>
      <c r="CD136" s="341">
        <f>'4 (2027)'!F29+'5 (2027)'!E20+ВБ!F26</f>
        <v>4380420.24</v>
      </c>
      <c r="CE136" s="342"/>
      <c r="CF136" s="342"/>
      <c r="CG136" s="342"/>
      <c r="CH136" s="342"/>
      <c r="CI136" s="342"/>
      <c r="CJ136" s="342"/>
      <c r="CK136" s="342"/>
      <c r="CL136" s="342"/>
      <c r="CM136" s="343"/>
      <c r="CN136" s="344"/>
      <c r="CO136" s="344"/>
      <c r="CP136" s="344"/>
      <c r="CQ136" s="344"/>
      <c r="CR136" s="344"/>
      <c r="CS136" s="344"/>
      <c r="CT136" s="344"/>
      <c r="CU136" s="345"/>
    </row>
    <row r="137" spans="1:105" ht="19.5" hidden="1" customHeight="1" x14ac:dyDescent="0.25">
      <c r="A137" s="337" t="s">
        <v>479</v>
      </c>
      <c r="B137" s="338"/>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c r="AN137" s="338"/>
      <c r="AO137" s="338"/>
      <c r="AP137" s="338"/>
      <c r="AQ137" s="338"/>
      <c r="AR137" s="338"/>
      <c r="AS137" s="338"/>
      <c r="AT137" s="338"/>
      <c r="AU137" s="338"/>
      <c r="AV137" s="339" t="s">
        <v>480</v>
      </c>
      <c r="AW137" s="340"/>
      <c r="AX137" s="340"/>
      <c r="AY137" s="340"/>
      <c r="AZ137" s="340" t="s">
        <v>49</v>
      </c>
      <c r="BA137" s="340"/>
      <c r="BB137" s="340"/>
      <c r="BC137" s="340"/>
      <c r="BD137" s="340"/>
      <c r="BE137" s="340"/>
      <c r="BF137" s="340" t="s">
        <v>110</v>
      </c>
      <c r="BG137" s="340"/>
      <c r="BH137" s="340"/>
      <c r="BI137" s="340"/>
      <c r="BJ137" s="340"/>
      <c r="BK137" s="340"/>
      <c r="BL137" s="346">
        <f>'ОСТАТКИ МЗ'!F36+'ОСТАТКИ МЗ'!F39+'ОСТАТКИ МЗ'!F40+'ОСТАТКИ МЗ'!F43+'ОСТАТКИ ВБ'!F34+'ОСТАТКИ ВБ'!F37+'ОСТАТКИ ВБ'!F38+'ОСТАТКИ ВБ'!F41+ВБ!F34+ВБ!F37+ВБ!F38+'4 (2025)'!F37+'4 (2025)'!F41+'4 (2025)'!F42+'4 (2025)'!F45+'5 (2025)'!E26+ВБ!F41</f>
        <v>1798221</v>
      </c>
      <c r="BM137" s="347"/>
      <c r="BN137" s="347"/>
      <c r="BO137" s="347"/>
      <c r="BP137" s="347"/>
      <c r="BQ137" s="347"/>
      <c r="BR137" s="347"/>
      <c r="BS137" s="347"/>
      <c r="BT137" s="348"/>
      <c r="BU137" s="341">
        <f>'4 (2026)'!F37+'4 (2026)'!F41+'4 (2026)'!F42+'4 (2026)'!F45+'5 (2026)'!E24+ВБ!F33</f>
        <v>1709488</v>
      </c>
      <c r="BV137" s="342"/>
      <c r="BW137" s="342"/>
      <c r="BX137" s="342"/>
      <c r="BY137" s="342"/>
      <c r="BZ137" s="342"/>
      <c r="CA137" s="342"/>
      <c r="CB137" s="342"/>
      <c r="CC137" s="342"/>
      <c r="CD137" s="341">
        <f>'4 (2027)'!F37+'4 (2027)'!F41+'4 (2027)'!F42+'4 (2027)'!F45+'5 (2027)'!E24+ВБ!F33</f>
        <v>1796923.5499999998</v>
      </c>
      <c r="CE137" s="342"/>
      <c r="CF137" s="342"/>
      <c r="CG137" s="342"/>
      <c r="CH137" s="342"/>
      <c r="CI137" s="342"/>
      <c r="CJ137" s="342"/>
      <c r="CK137" s="342"/>
      <c r="CL137" s="342"/>
      <c r="CM137" s="343"/>
      <c r="CN137" s="344"/>
      <c r="CO137" s="344"/>
      <c r="CP137" s="344"/>
      <c r="CQ137" s="344"/>
      <c r="CR137" s="344"/>
      <c r="CS137" s="344"/>
      <c r="CT137" s="344"/>
      <c r="CU137" s="345"/>
    </row>
    <row r="138" spans="1:105" ht="21.75" hidden="1" customHeight="1" x14ac:dyDescent="0.25">
      <c r="A138" s="337" t="s">
        <v>586</v>
      </c>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338"/>
      <c r="AO138" s="338"/>
      <c r="AP138" s="338"/>
      <c r="AQ138" s="338"/>
      <c r="AR138" s="338"/>
      <c r="AS138" s="338"/>
      <c r="AT138" s="338"/>
      <c r="AU138" s="338"/>
      <c r="AV138" s="339" t="s">
        <v>482</v>
      </c>
      <c r="AW138" s="340"/>
      <c r="AX138" s="340"/>
      <c r="AY138" s="340"/>
      <c r="AZ138" s="340" t="s">
        <v>49</v>
      </c>
      <c r="BA138" s="340"/>
      <c r="BB138" s="340"/>
      <c r="BC138" s="340"/>
      <c r="BD138" s="340"/>
      <c r="BE138" s="340"/>
      <c r="BF138" s="340" t="s">
        <v>587</v>
      </c>
      <c r="BG138" s="340"/>
      <c r="BH138" s="340"/>
      <c r="BI138" s="340"/>
      <c r="BJ138" s="340"/>
      <c r="BK138" s="340"/>
      <c r="BL138" s="341">
        <v>0</v>
      </c>
      <c r="BM138" s="342"/>
      <c r="BN138" s="342"/>
      <c r="BO138" s="342"/>
      <c r="BP138" s="342"/>
      <c r="BQ138" s="342"/>
      <c r="BR138" s="342"/>
      <c r="BS138" s="342"/>
      <c r="BT138" s="342"/>
      <c r="BU138" s="341">
        <v>0</v>
      </c>
      <c r="BV138" s="342"/>
      <c r="BW138" s="342"/>
      <c r="BX138" s="342"/>
      <c r="BY138" s="342"/>
      <c r="BZ138" s="342"/>
      <c r="CA138" s="342"/>
      <c r="CB138" s="342"/>
      <c r="CC138" s="342"/>
      <c r="CD138" s="341">
        <v>0</v>
      </c>
      <c r="CE138" s="342"/>
      <c r="CF138" s="342"/>
      <c r="CG138" s="342"/>
      <c r="CH138" s="342"/>
      <c r="CI138" s="342"/>
      <c r="CJ138" s="342"/>
      <c r="CK138" s="342"/>
      <c r="CL138" s="342"/>
      <c r="CM138" s="343"/>
      <c r="CN138" s="344"/>
      <c r="CO138" s="344"/>
      <c r="CP138" s="344"/>
      <c r="CQ138" s="344"/>
      <c r="CR138" s="344"/>
      <c r="CS138" s="344"/>
      <c r="CT138" s="344"/>
      <c r="CU138" s="345"/>
    </row>
    <row r="139" spans="1:105" ht="21.75" hidden="1" customHeight="1" x14ac:dyDescent="0.25">
      <c r="A139" s="337" t="s">
        <v>588</v>
      </c>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9" t="s">
        <v>589</v>
      </c>
      <c r="AW139" s="340"/>
      <c r="AX139" s="340"/>
      <c r="AY139" s="340"/>
      <c r="AZ139" s="340" t="s">
        <v>49</v>
      </c>
      <c r="BA139" s="340"/>
      <c r="BB139" s="340"/>
      <c r="BC139" s="340"/>
      <c r="BD139" s="340"/>
      <c r="BE139" s="340"/>
      <c r="BF139" s="340" t="s">
        <v>590</v>
      </c>
      <c r="BG139" s="340"/>
      <c r="BH139" s="340"/>
      <c r="BI139" s="340"/>
      <c r="BJ139" s="340"/>
      <c r="BK139" s="340"/>
      <c r="BL139" s="341">
        <v>0</v>
      </c>
      <c r="BM139" s="342"/>
      <c r="BN139" s="342"/>
      <c r="BO139" s="342"/>
      <c r="BP139" s="342"/>
      <c r="BQ139" s="342"/>
      <c r="BR139" s="342"/>
      <c r="BS139" s="342"/>
      <c r="BT139" s="342"/>
      <c r="BU139" s="341">
        <v>0</v>
      </c>
      <c r="BV139" s="342"/>
      <c r="BW139" s="342"/>
      <c r="BX139" s="342"/>
      <c r="BY139" s="342"/>
      <c r="BZ139" s="342"/>
      <c r="CA139" s="342"/>
      <c r="CB139" s="342"/>
      <c r="CC139" s="342"/>
      <c r="CD139" s="341">
        <v>0</v>
      </c>
      <c r="CE139" s="342"/>
      <c r="CF139" s="342"/>
      <c r="CG139" s="342"/>
      <c r="CH139" s="342"/>
      <c r="CI139" s="342"/>
      <c r="CJ139" s="342"/>
      <c r="CK139" s="342"/>
      <c r="CL139" s="342"/>
      <c r="CM139" s="343"/>
      <c r="CN139" s="344"/>
      <c r="CO139" s="344"/>
      <c r="CP139" s="344"/>
      <c r="CQ139" s="344"/>
      <c r="CR139" s="344"/>
      <c r="CS139" s="344"/>
      <c r="CT139" s="344"/>
      <c r="CU139" s="345"/>
    </row>
    <row r="140" spans="1:105" ht="21.75" hidden="1" customHeight="1" x14ac:dyDescent="0.25">
      <c r="A140" s="337" t="s">
        <v>481</v>
      </c>
      <c r="B140" s="338"/>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c r="AN140" s="338"/>
      <c r="AO140" s="338"/>
      <c r="AP140" s="338"/>
      <c r="AQ140" s="338"/>
      <c r="AR140" s="338"/>
      <c r="AS140" s="338"/>
      <c r="AT140" s="338"/>
      <c r="AU140" s="338"/>
      <c r="AV140" s="339" t="s">
        <v>591</v>
      </c>
      <c r="AW140" s="340"/>
      <c r="AX140" s="340"/>
      <c r="AY140" s="340"/>
      <c r="AZ140" s="340" t="s">
        <v>49</v>
      </c>
      <c r="BA140" s="340"/>
      <c r="BB140" s="340"/>
      <c r="BC140" s="340"/>
      <c r="BD140" s="340"/>
      <c r="BE140" s="340"/>
      <c r="BF140" s="340" t="s">
        <v>61</v>
      </c>
      <c r="BG140" s="340"/>
      <c r="BH140" s="340"/>
      <c r="BI140" s="340"/>
      <c r="BJ140" s="340"/>
      <c r="BK140" s="340"/>
      <c r="BL140" s="341">
        <f>'4 (2025)'!F59+'5 (2025)'!E28+ВБ!F53+'ОСТАТКИ МЗ'!F55+'ОСТАТКИ ВБ'!F53</f>
        <v>1619540</v>
      </c>
      <c r="BM140" s="342"/>
      <c r="BN140" s="342"/>
      <c r="BO140" s="342"/>
      <c r="BP140" s="342"/>
      <c r="BQ140" s="342"/>
      <c r="BR140" s="342"/>
      <c r="BS140" s="342"/>
      <c r="BT140" s="342"/>
      <c r="BU140" s="341">
        <f>'4 (2026)'!F59+'5 (2026)'!E27+ВБ!F53</f>
        <v>1407805</v>
      </c>
      <c r="BV140" s="342"/>
      <c r="BW140" s="342"/>
      <c r="BX140" s="342"/>
      <c r="BY140" s="342"/>
      <c r="BZ140" s="342"/>
      <c r="CA140" s="342"/>
      <c r="CB140" s="342"/>
      <c r="CC140" s="342"/>
      <c r="CD140" s="341">
        <f>'4 (2027)'!F59+'5 (2027)'!E27+ВБ!F53</f>
        <v>1349805</v>
      </c>
      <c r="CE140" s="342"/>
      <c r="CF140" s="342"/>
      <c r="CG140" s="342"/>
      <c r="CH140" s="342"/>
      <c r="CI140" s="342"/>
      <c r="CJ140" s="342"/>
      <c r="CK140" s="342"/>
      <c r="CL140" s="342"/>
      <c r="CM140" s="343"/>
      <c r="CN140" s="344"/>
      <c r="CO140" s="344"/>
      <c r="CP140" s="344"/>
      <c r="CQ140" s="344"/>
      <c r="CR140" s="344"/>
      <c r="CS140" s="344"/>
      <c r="CT140" s="344"/>
      <c r="CU140" s="345"/>
    </row>
    <row r="141" spans="1:105" ht="22.5" hidden="1" customHeight="1" x14ac:dyDescent="0.25">
      <c r="A141" s="337" t="s">
        <v>483</v>
      </c>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c r="AN141" s="338"/>
      <c r="AO141" s="338"/>
      <c r="AP141" s="338"/>
      <c r="AQ141" s="338"/>
      <c r="AR141" s="338"/>
      <c r="AS141" s="338"/>
      <c r="AT141" s="338"/>
      <c r="AU141" s="338"/>
      <c r="AV141" s="339" t="s">
        <v>592</v>
      </c>
      <c r="AW141" s="340"/>
      <c r="AX141" s="340"/>
      <c r="AY141" s="340"/>
      <c r="AZ141" s="340" t="s">
        <v>49</v>
      </c>
      <c r="BA141" s="340"/>
      <c r="BB141" s="340"/>
      <c r="BC141" s="340"/>
      <c r="BD141" s="340"/>
      <c r="BE141" s="340"/>
      <c r="BF141" s="340" t="s">
        <v>26</v>
      </c>
      <c r="BG141" s="340"/>
      <c r="BH141" s="340"/>
      <c r="BI141" s="340"/>
      <c r="BJ141" s="340"/>
      <c r="BK141" s="340"/>
      <c r="BL141" s="341">
        <f>'ОСТАТКИ МЗ'!F60+ВБ!F58+'4 (2025)'!F64+'5 (2025)'!E33+'5 (2025) пит.'!F13+'ОСТАТКИ ВБ'!F64+'ОСТАТКИ ВБ'!F58</f>
        <v>4383309.8599999994</v>
      </c>
      <c r="BM141" s="342"/>
      <c r="BN141" s="342"/>
      <c r="BO141" s="342"/>
      <c r="BP141" s="342"/>
      <c r="BQ141" s="342"/>
      <c r="BR141" s="342"/>
      <c r="BS141" s="342"/>
      <c r="BT141" s="342"/>
      <c r="BU141" s="341">
        <f>'4 (2026)'!F64+'5 (2026) пит.'!F13+'5 (2026)'!E32+ВБ!F58</f>
        <v>4395254.8</v>
      </c>
      <c r="BV141" s="342"/>
      <c r="BW141" s="342"/>
      <c r="BX141" s="342"/>
      <c r="BY141" s="342"/>
      <c r="BZ141" s="342"/>
      <c r="CA141" s="342"/>
      <c r="CB141" s="342"/>
      <c r="CC141" s="342"/>
      <c r="CD141" s="341">
        <f>'4 (2027)'!F64+'5 (2027) пит.'!F13+'5 (2027)'!E32+ВБ!F58</f>
        <v>4465034.0199999996</v>
      </c>
      <c r="CE141" s="342"/>
      <c r="CF141" s="342"/>
      <c r="CG141" s="342"/>
      <c r="CH141" s="342"/>
      <c r="CI141" s="342"/>
      <c r="CJ141" s="342"/>
      <c r="CK141" s="342"/>
      <c r="CL141" s="342"/>
      <c r="CM141" s="343"/>
      <c r="CN141" s="344"/>
      <c r="CO141" s="344"/>
      <c r="CP141" s="344"/>
      <c r="CQ141" s="344"/>
      <c r="CR141" s="344"/>
      <c r="CS141" s="344"/>
      <c r="CT141" s="344"/>
      <c r="CU141" s="345"/>
    </row>
    <row r="142" spans="1:105" ht="15.75" hidden="1" x14ac:dyDescent="0.25">
      <c r="A142" s="458" t="s">
        <v>594</v>
      </c>
      <c r="B142" s="459"/>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c r="AO142" s="459"/>
      <c r="AP142" s="459"/>
      <c r="AQ142" s="459"/>
      <c r="AR142" s="459"/>
      <c r="AS142" s="459"/>
      <c r="AT142" s="459"/>
      <c r="AU142" s="460"/>
      <c r="AV142" s="621" t="s">
        <v>337</v>
      </c>
      <c r="AW142" s="441"/>
      <c r="AX142" s="441"/>
      <c r="AY142" s="442"/>
      <c r="AZ142" s="443" t="s">
        <v>595</v>
      </c>
      <c r="BA142" s="441"/>
      <c r="BB142" s="441"/>
      <c r="BC142" s="441"/>
      <c r="BD142" s="441"/>
      <c r="BE142" s="442"/>
      <c r="BF142" s="444"/>
      <c r="BG142" s="445"/>
      <c r="BH142" s="445"/>
      <c r="BI142" s="445"/>
      <c r="BJ142" s="445"/>
      <c r="BK142" s="446"/>
      <c r="BL142" s="444">
        <v>0</v>
      </c>
      <c r="BM142" s="445"/>
      <c r="BN142" s="445"/>
      <c r="BO142" s="445"/>
      <c r="BP142" s="445"/>
      <c r="BQ142" s="445"/>
      <c r="BR142" s="445"/>
      <c r="BS142" s="445"/>
      <c r="BT142" s="446"/>
      <c r="BU142" s="444">
        <v>0</v>
      </c>
      <c r="BV142" s="445"/>
      <c r="BW142" s="445"/>
      <c r="BX142" s="445"/>
      <c r="BY142" s="445"/>
      <c r="BZ142" s="445"/>
      <c r="CA142" s="445"/>
      <c r="CB142" s="445"/>
      <c r="CC142" s="446"/>
      <c r="CD142" s="444">
        <v>0</v>
      </c>
      <c r="CE142" s="445"/>
      <c r="CF142" s="445"/>
      <c r="CG142" s="445"/>
      <c r="CH142" s="445"/>
      <c r="CI142" s="445"/>
      <c r="CJ142" s="445"/>
      <c r="CK142" s="445"/>
      <c r="CL142" s="446"/>
      <c r="CM142" s="444">
        <v>0</v>
      </c>
      <c r="CN142" s="445"/>
      <c r="CO142" s="445"/>
      <c r="CP142" s="445"/>
      <c r="CQ142" s="445"/>
      <c r="CR142" s="445"/>
      <c r="CS142" s="445"/>
      <c r="CT142" s="445"/>
      <c r="CU142" s="447"/>
    </row>
    <row r="143" spans="1:105" ht="22.5" hidden="1" customHeight="1" x14ac:dyDescent="0.25">
      <c r="A143" s="477" t="s">
        <v>596</v>
      </c>
      <c r="B143" s="478"/>
      <c r="C143" s="478"/>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8"/>
      <c r="AL143" s="478"/>
      <c r="AM143" s="478"/>
      <c r="AN143" s="478"/>
      <c r="AO143" s="478"/>
      <c r="AP143" s="478"/>
      <c r="AQ143" s="478"/>
      <c r="AR143" s="478"/>
      <c r="AS143" s="478"/>
      <c r="AT143" s="478"/>
      <c r="AU143" s="478"/>
      <c r="AV143" s="623"/>
      <c r="AW143" s="355"/>
      <c r="AX143" s="355"/>
      <c r="AY143" s="463"/>
      <c r="AZ143" s="465"/>
      <c r="BA143" s="355"/>
      <c r="BB143" s="355"/>
      <c r="BC143" s="355"/>
      <c r="BD143" s="355"/>
      <c r="BE143" s="463"/>
      <c r="BF143" s="564"/>
      <c r="BG143" s="565"/>
      <c r="BH143" s="565"/>
      <c r="BI143" s="565"/>
      <c r="BJ143" s="565"/>
      <c r="BK143" s="566"/>
      <c r="BL143" s="564"/>
      <c r="BM143" s="565"/>
      <c r="BN143" s="565"/>
      <c r="BO143" s="565"/>
      <c r="BP143" s="565"/>
      <c r="BQ143" s="565"/>
      <c r="BR143" s="565"/>
      <c r="BS143" s="565"/>
      <c r="BT143" s="566"/>
      <c r="BU143" s="564"/>
      <c r="BV143" s="565"/>
      <c r="BW143" s="565"/>
      <c r="BX143" s="565"/>
      <c r="BY143" s="565"/>
      <c r="BZ143" s="565"/>
      <c r="CA143" s="565"/>
      <c r="CB143" s="565"/>
      <c r="CC143" s="566"/>
      <c r="CD143" s="564"/>
      <c r="CE143" s="565"/>
      <c r="CF143" s="565"/>
      <c r="CG143" s="565"/>
      <c r="CH143" s="565"/>
      <c r="CI143" s="565"/>
      <c r="CJ143" s="565"/>
      <c r="CK143" s="565"/>
      <c r="CL143" s="566"/>
      <c r="CM143" s="564"/>
      <c r="CN143" s="565"/>
      <c r="CO143" s="565"/>
      <c r="CP143" s="565"/>
      <c r="CQ143" s="565"/>
      <c r="CR143" s="565"/>
      <c r="CS143" s="565"/>
      <c r="CT143" s="565"/>
      <c r="CU143" s="660"/>
    </row>
    <row r="144" spans="1:105" s="161" customFormat="1" ht="24.75" customHeight="1" x14ac:dyDescent="0.25">
      <c r="A144" s="661" t="s">
        <v>597</v>
      </c>
      <c r="B144" s="662"/>
      <c r="C144" s="662"/>
      <c r="D144" s="662"/>
      <c r="E144" s="662"/>
      <c r="F144" s="662"/>
      <c r="G144" s="662"/>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c r="AL144" s="662"/>
      <c r="AM144" s="662"/>
      <c r="AN144" s="662"/>
      <c r="AO144" s="662"/>
      <c r="AP144" s="662"/>
      <c r="AQ144" s="662"/>
      <c r="AR144" s="662"/>
      <c r="AS144" s="662"/>
      <c r="AT144" s="662"/>
      <c r="AU144" s="662"/>
      <c r="AV144" s="663" t="s">
        <v>598</v>
      </c>
      <c r="AW144" s="574"/>
      <c r="AX144" s="574"/>
      <c r="AY144" s="574"/>
      <c r="AZ144" s="575" t="s">
        <v>543</v>
      </c>
      <c r="BA144" s="575"/>
      <c r="BB144" s="575"/>
      <c r="BC144" s="575"/>
      <c r="BD144" s="575"/>
      <c r="BE144" s="575"/>
      <c r="BF144" s="574" t="s">
        <v>69</v>
      </c>
      <c r="BG144" s="574"/>
      <c r="BH144" s="574"/>
      <c r="BI144" s="574"/>
      <c r="BJ144" s="574"/>
      <c r="BK144" s="574"/>
      <c r="BL144" s="576">
        <f>'ОСТАТКИ МЗ'!F24+'ОСТАТКИ МЗ'!F26+'4 (2025)'!F25+'4 (2025)'!F27+'4 (2025)'!F26</f>
        <v>5016321</v>
      </c>
      <c r="BM144" s="577"/>
      <c r="BN144" s="577"/>
      <c r="BO144" s="577"/>
      <c r="BP144" s="577"/>
      <c r="BQ144" s="577"/>
      <c r="BR144" s="577"/>
      <c r="BS144" s="577"/>
      <c r="BT144" s="577"/>
      <c r="BU144" s="576">
        <f>'4 (2026)'!F25+'4 (2026)'!F27+'4 (2026)'!F26</f>
        <v>5016321</v>
      </c>
      <c r="BV144" s="577"/>
      <c r="BW144" s="577"/>
      <c r="BX144" s="577"/>
      <c r="BY144" s="577"/>
      <c r="BZ144" s="577"/>
      <c r="CA144" s="577"/>
      <c r="CB144" s="577"/>
      <c r="CC144" s="577"/>
      <c r="CD144" s="576">
        <f>'4 (2027)'!F25+'4 (2027)'!F27+'4 (2027)'!F26</f>
        <v>5282759.6500000004</v>
      </c>
      <c r="CE144" s="577"/>
      <c r="CF144" s="577"/>
      <c r="CG144" s="577"/>
      <c r="CH144" s="577"/>
      <c r="CI144" s="577"/>
      <c r="CJ144" s="577"/>
      <c r="CK144" s="577"/>
      <c r="CL144" s="577"/>
      <c r="CM144" s="664"/>
      <c r="CN144" s="665"/>
      <c r="CO144" s="665"/>
      <c r="CP144" s="665"/>
      <c r="CQ144" s="665"/>
      <c r="CR144" s="665"/>
      <c r="CS144" s="665"/>
      <c r="CT144" s="665"/>
      <c r="CU144" s="666"/>
      <c r="CV144" s="242"/>
      <c r="CW144" s="242"/>
      <c r="CX144" s="242"/>
      <c r="CY144" s="242"/>
      <c r="CZ144" s="242"/>
      <c r="DA144" s="242"/>
    </row>
    <row r="145" spans="1:99" ht="19.5" customHeight="1" x14ac:dyDescent="0.25">
      <c r="A145" s="451" t="s">
        <v>336</v>
      </c>
      <c r="B145" s="452"/>
      <c r="C145" s="452"/>
      <c r="D145" s="452"/>
      <c r="E145" s="452"/>
      <c r="F145" s="452"/>
      <c r="G145" s="452"/>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2"/>
      <c r="AI145" s="452"/>
      <c r="AJ145" s="452"/>
      <c r="AK145" s="452"/>
      <c r="AL145" s="452"/>
      <c r="AM145" s="452"/>
      <c r="AN145" s="452"/>
      <c r="AO145" s="452"/>
      <c r="AP145" s="452"/>
      <c r="AQ145" s="452"/>
      <c r="AR145" s="452"/>
      <c r="AS145" s="452"/>
      <c r="AT145" s="452"/>
      <c r="AU145" s="453"/>
      <c r="AV145" s="616" t="s">
        <v>593</v>
      </c>
      <c r="AW145" s="454"/>
      <c r="AX145" s="454"/>
      <c r="AY145" s="455"/>
      <c r="AZ145" s="456" t="s">
        <v>338</v>
      </c>
      <c r="BA145" s="454"/>
      <c r="BB145" s="454"/>
      <c r="BC145" s="454"/>
      <c r="BD145" s="454"/>
      <c r="BE145" s="455"/>
      <c r="BF145" s="429"/>
      <c r="BG145" s="430"/>
      <c r="BH145" s="430"/>
      <c r="BI145" s="430"/>
      <c r="BJ145" s="430"/>
      <c r="BK145" s="457"/>
      <c r="BL145" s="429">
        <f>BL147+BL150</f>
        <v>0</v>
      </c>
      <c r="BM145" s="430"/>
      <c r="BN145" s="430"/>
      <c r="BO145" s="430"/>
      <c r="BP145" s="430"/>
      <c r="BQ145" s="430"/>
      <c r="BR145" s="430"/>
      <c r="BS145" s="430"/>
      <c r="BT145" s="457"/>
      <c r="BU145" s="429">
        <f t="shared" ref="BU145" si="21">BU147+BU150</f>
        <v>0</v>
      </c>
      <c r="BV145" s="430"/>
      <c r="BW145" s="430"/>
      <c r="BX145" s="430"/>
      <c r="BY145" s="430"/>
      <c r="BZ145" s="430"/>
      <c r="CA145" s="430"/>
      <c r="CB145" s="430"/>
      <c r="CC145" s="457"/>
      <c r="CD145" s="429">
        <f t="shared" ref="CD145" si="22">CD147+CD150</f>
        <v>0</v>
      </c>
      <c r="CE145" s="430"/>
      <c r="CF145" s="430"/>
      <c r="CG145" s="430"/>
      <c r="CH145" s="430"/>
      <c r="CI145" s="430"/>
      <c r="CJ145" s="430"/>
      <c r="CK145" s="430"/>
      <c r="CL145" s="457"/>
      <c r="CM145" s="429">
        <f t="shared" ref="CM145" si="23">CM147+CM150</f>
        <v>0</v>
      </c>
      <c r="CN145" s="430"/>
      <c r="CO145" s="430"/>
      <c r="CP145" s="430"/>
      <c r="CQ145" s="430"/>
      <c r="CR145" s="430"/>
      <c r="CS145" s="430"/>
      <c r="CT145" s="430"/>
      <c r="CU145" s="431"/>
    </row>
    <row r="146" spans="1:99" ht="18" customHeight="1" x14ac:dyDescent="0.25">
      <c r="A146" s="619" t="s">
        <v>339</v>
      </c>
      <c r="B146" s="620"/>
      <c r="C146" s="620"/>
      <c r="D146" s="620"/>
      <c r="E146" s="620"/>
      <c r="F146" s="620"/>
      <c r="G146" s="620"/>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17"/>
      <c r="AW146" s="526"/>
      <c r="AX146" s="526"/>
      <c r="AY146" s="527"/>
      <c r="AZ146" s="528"/>
      <c r="BA146" s="526"/>
      <c r="BB146" s="526"/>
      <c r="BC146" s="526"/>
      <c r="BD146" s="526"/>
      <c r="BE146" s="527"/>
      <c r="BF146" s="432"/>
      <c r="BG146" s="433"/>
      <c r="BH146" s="433"/>
      <c r="BI146" s="433"/>
      <c r="BJ146" s="433"/>
      <c r="BK146" s="618"/>
      <c r="BL146" s="432"/>
      <c r="BM146" s="433"/>
      <c r="BN146" s="433"/>
      <c r="BO146" s="433"/>
      <c r="BP146" s="433"/>
      <c r="BQ146" s="433"/>
      <c r="BR146" s="433"/>
      <c r="BS146" s="433"/>
      <c r="BT146" s="618"/>
      <c r="BU146" s="432"/>
      <c r="BV146" s="433"/>
      <c r="BW146" s="433"/>
      <c r="BX146" s="433"/>
      <c r="BY146" s="433"/>
      <c r="BZ146" s="433"/>
      <c r="CA146" s="433"/>
      <c r="CB146" s="433"/>
      <c r="CC146" s="618"/>
      <c r="CD146" s="432"/>
      <c r="CE146" s="433"/>
      <c r="CF146" s="433"/>
      <c r="CG146" s="433"/>
      <c r="CH146" s="433"/>
      <c r="CI146" s="433"/>
      <c r="CJ146" s="433"/>
      <c r="CK146" s="433"/>
      <c r="CL146" s="618"/>
      <c r="CM146" s="432"/>
      <c r="CN146" s="433"/>
      <c r="CO146" s="433"/>
      <c r="CP146" s="433"/>
      <c r="CQ146" s="433"/>
      <c r="CR146" s="433"/>
      <c r="CS146" s="433"/>
      <c r="CT146" s="433"/>
      <c r="CU146" s="434"/>
    </row>
    <row r="147" spans="1:99" ht="15.75" x14ac:dyDescent="0.25">
      <c r="A147" s="567" t="s">
        <v>2</v>
      </c>
      <c r="B147" s="568"/>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621" t="s">
        <v>599</v>
      </c>
      <c r="AW147" s="441"/>
      <c r="AX147" s="441"/>
      <c r="AY147" s="442"/>
      <c r="AZ147" s="443" t="s">
        <v>340</v>
      </c>
      <c r="BA147" s="441"/>
      <c r="BB147" s="441"/>
      <c r="BC147" s="441"/>
      <c r="BD147" s="441"/>
      <c r="BE147" s="442"/>
      <c r="BF147" s="443"/>
      <c r="BG147" s="441"/>
      <c r="BH147" s="441"/>
      <c r="BI147" s="441"/>
      <c r="BJ147" s="441"/>
      <c r="BK147" s="442"/>
      <c r="BL147" s="504"/>
      <c r="BM147" s="466"/>
      <c r="BN147" s="466"/>
      <c r="BO147" s="466"/>
      <c r="BP147" s="466"/>
      <c r="BQ147" s="466"/>
      <c r="BR147" s="466"/>
      <c r="BS147" s="466"/>
      <c r="BT147" s="467"/>
      <c r="BU147" s="504"/>
      <c r="BV147" s="466"/>
      <c r="BW147" s="466"/>
      <c r="BX147" s="466"/>
      <c r="BY147" s="466"/>
      <c r="BZ147" s="466"/>
      <c r="CA147" s="466"/>
      <c r="CB147" s="466"/>
      <c r="CC147" s="467"/>
      <c r="CD147" s="504"/>
      <c r="CE147" s="466"/>
      <c r="CF147" s="466"/>
      <c r="CG147" s="466"/>
      <c r="CH147" s="466"/>
      <c r="CI147" s="466"/>
      <c r="CJ147" s="466"/>
      <c r="CK147" s="466"/>
      <c r="CL147" s="467"/>
      <c r="CM147" s="603"/>
      <c r="CN147" s="604"/>
      <c r="CO147" s="604"/>
      <c r="CP147" s="604"/>
      <c r="CQ147" s="604"/>
      <c r="CR147" s="604"/>
      <c r="CS147" s="604"/>
      <c r="CT147" s="604"/>
      <c r="CU147" s="605"/>
    </row>
    <row r="148" spans="1:99" ht="18" customHeight="1" x14ac:dyDescent="0.25">
      <c r="A148" s="585" t="s">
        <v>341</v>
      </c>
      <c r="B148" s="586"/>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6"/>
      <c r="AL148" s="586"/>
      <c r="AM148" s="586"/>
      <c r="AN148" s="586"/>
      <c r="AO148" s="586"/>
      <c r="AP148" s="586"/>
      <c r="AQ148" s="586"/>
      <c r="AR148" s="586"/>
      <c r="AS148" s="586"/>
      <c r="AT148" s="586"/>
      <c r="AU148" s="586"/>
      <c r="AV148" s="622"/>
      <c r="AW148" s="461"/>
      <c r="AX148" s="461"/>
      <c r="AY148" s="462"/>
      <c r="AZ148" s="464"/>
      <c r="BA148" s="461"/>
      <c r="BB148" s="461"/>
      <c r="BC148" s="461"/>
      <c r="BD148" s="461"/>
      <c r="BE148" s="462"/>
      <c r="BF148" s="464"/>
      <c r="BG148" s="461"/>
      <c r="BH148" s="461"/>
      <c r="BI148" s="461"/>
      <c r="BJ148" s="461"/>
      <c r="BK148" s="462"/>
      <c r="BL148" s="468"/>
      <c r="BM148" s="469"/>
      <c r="BN148" s="469"/>
      <c r="BO148" s="469"/>
      <c r="BP148" s="469"/>
      <c r="BQ148" s="469"/>
      <c r="BR148" s="469"/>
      <c r="BS148" s="469"/>
      <c r="BT148" s="470"/>
      <c r="BU148" s="468"/>
      <c r="BV148" s="469"/>
      <c r="BW148" s="469"/>
      <c r="BX148" s="469"/>
      <c r="BY148" s="469"/>
      <c r="BZ148" s="469"/>
      <c r="CA148" s="469"/>
      <c r="CB148" s="469"/>
      <c r="CC148" s="470"/>
      <c r="CD148" s="468"/>
      <c r="CE148" s="469"/>
      <c r="CF148" s="469"/>
      <c r="CG148" s="469"/>
      <c r="CH148" s="469"/>
      <c r="CI148" s="469"/>
      <c r="CJ148" s="469"/>
      <c r="CK148" s="469"/>
      <c r="CL148" s="470"/>
      <c r="CM148" s="624"/>
      <c r="CN148" s="625"/>
      <c r="CO148" s="625"/>
      <c r="CP148" s="625"/>
      <c r="CQ148" s="625"/>
      <c r="CR148" s="625"/>
      <c r="CS148" s="625"/>
      <c r="CT148" s="625"/>
      <c r="CU148" s="626"/>
    </row>
    <row r="149" spans="1:99" ht="15.75" x14ac:dyDescent="0.25">
      <c r="A149" s="570" t="s">
        <v>342</v>
      </c>
      <c r="B149" s="571"/>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1"/>
      <c r="AL149" s="571"/>
      <c r="AM149" s="571"/>
      <c r="AN149" s="571"/>
      <c r="AO149" s="571"/>
      <c r="AP149" s="571"/>
      <c r="AQ149" s="571"/>
      <c r="AR149" s="571"/>
      <c r="AS149" s="571"/>
      <c r="AT149" s="571"/>
      <c r="AU149" s="571"/>
      <c r="AV149" s="623"/>
      <c r="AW149" s="355"/>
      <c r="AX149" s="355"/>
      <c r="AY149" s="463"/>
      <c r="AZ149" s="465"/>
      <c r="BA149" s="355"/>
      <c r="BB149" s="355"/>
      <c r="BC149" s="355"/>
      <c r="BD149" s="355"/>
      <c r="BE149" s="463"/>
      <c r="BF149" s="465"/>
      <c r="BG149" s="355"/>
      <c r="BH149" s="355"/>
      <c r="BI149" s="355"/>
      <c r="BJ149" s="355"/>
      <c r="BK149" s="463"/>
      <c r="BL149" s="471"/>
      <c r="BM149" s="472"/>
      <c r="BN149" s="472"/>
      <c r="BO149" s="472"/>
      <c r="BP149" s="472"/>
      <c r="BQ149" s="472"/>
      <c r="BR149" s="472"/>
      <c r="BS149" s="472"/>
      <c r="BT149" s="473"/>
      <c r="BU149" s="471"/>
      <c r="BV149" s="472"/>
      <c r="BW149" s="472"/>
      <c r="BX149" s="472"/>
      <c r="BY149" s="472"/>
      <c r="BZ149" s="472"/>
      <c r="CA149" s="472"/>
      <c r="CB149" s="472"/>
      <c r="CC149" s="473"/>
      <c r="CD149" s="471"/>
      <c r="CE149" s="472"/>
      <c r="CF149" s="472"/>
      <c r="CG149" s="472"/>
      <c r="CH149" s="472"/>
      <c r="CI149" s="472"/>
      <c r="CJ149" s="472"/>
      <c r="CK149" s="472"/>
      <c r="CL149" s="473"/>
      <c r="CM149" s="606"/>
      <c r="CN149" s="607"/>
      <c r="CO149" s="607"/>
      <c r="CP149" s="607"/>
      <c r="CQ149" s="607"/>
      <c r="CR149" s="607"/>
      <c r="CS149" s="607"/>
      <c r="CT149" s="607"/>
      <c r="CU149" s="608"/>
    </row>
    <row r="150" spans="1:99" ht="15.75" x14ac:dyDescent="0.25">
      <c r="A150" s="567" t="s">
        <v>343</v>
      </c>
      <c r="B150" s="568"/>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621" t="s">
        <v>600</v>
      </c>
      <c r="AW150" s="441"/>
      <c r="AX150" s="441"/>
      <c r="AY150" s="442"/>
      <c r="AZ150" s="443" t="s">
        <v>344</v>
      </c>
      <c r="BA150" s="441"/>
      <c r="BB150" s="441"/>
      <c r="BC150" s="441"/>
      <c r="BD150" s="441"/>
      <c r="BE150" s="442"/>
      <c r="BF150" s="443"/>
      <c r="BG150" s="441"/>
      <c r="BH150" s="441"/>
      <c r="BI150" s="441"/>
      <c r="BJ150" s="441"/>
      <c r="BK150" s="442"/>
      <c r="BL150" s="504"/>
      <c r="BM150" s="466"/>
      <c r="BN150" s="466"/>
      <c r="BO150" s="466"/>
      <c r="BP150" s="466"/>
      <c r="BQ150" s="466"/>
      <c r="BR150" s="466"/>
      <c r="BS150" s="466"/>
      <c r="BT150" s="467"/>
      <c r="BU150" s="504"/>
      <c r="BV150" s="466"/>
      <c r="BW150" s="466"/>
      <c r="BX150" s="466"/>
      <c r="BY150" s="466"/>
      <c r="BZ150" s="466"/>
      <c r="CA150" s="466"/>
      <c r="CB150" s="466"/>
      <c r="CC150" s="467"/>
      <c r="CD150" s="504"/>
      <c r="CE150" s="466"/>
      <c r="CF150" s="466"/>
      <c r="CG150" s="466"/>
      <c r="CH150" s="466"/>
      <c r="CI150" s="466"/>
      <c r="CJ150" s="466"/>
      <c r="CK150" s="466"/>
      <c r="CL150" s="467"/>
      <c r="CM150" s="603"/>
      <c r="CN150" s="604"/>
      <c r="CO150" s="604"/>
      <c r="CP150" s="604"/>
      <c r="CQ150" s="604"/>
      <c r="CR150" s="604"/>
      <c r="CS150" s="604"/>
      <c r="CT150" s="604"/>
      <c r="CU150" s="605"/>
    </row>
    <row r="151" spans="1:99" ht="15.75" x14ac:dyDescent="0.25">
      <c r="A151" s="570" t="s">
        <v>345</v>
      </c>
      <c r="B151" s="571"/>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1"/>
      <c r="AL151" s="571"/>
      <c r="AM151" s="571"/>
      <c r="AN151" s="571"/>
      <c r="AO151" s="571"/>
      <c r="AP151" s="571"/>
      <c r="AQ151" s="571"/>
      <c r="AR151" s="571"/>
      <c r="AS151" s="571"/>
      <c r="AT151" s="571"/>
      <c r="AU151" s="572"/>
      <c r="AV151" s="623"/>
      <c r="AW151" s="355"/>
      <c r="AX151" s="355"/>
      <c r="AY151" s="463"/>
      <c r="AZ151" s="465"/>
      <c r="BA151" s="355"/>
      <c r="BB151" s="355"/>
      <c r="BC151" s="355"/>
      <c r="BD151" s="355"/>
      <c r="BE151" s="463"/>
      <c r="BF151" s="465"/>
      <c r="BG151" s="355"/>
      <c r="BH151" s="355"/>
      <c r="BI151" s="355"/>
      <c r="BJ151" s="355"/>
      <c r="BK151" s="463"/>
      <c r="BL151" s="471"/>
      <c r="BM151" s="472"/>
      <c r="BN151" s="472"/>
      <c r="BO151" s="472"/>
      <c r="BP151" s="472"/>
      <c r="BQ151" s="472"/>
      <c r="BR151" s="472"/>
      <c r="BS151" s="472"/>
      <c r="BT151" s="473"/>
      <c r="BU151" s="471"/>
      <c r="BV151" s="472"/>
      <c r="BW151" s="472"/>
      <c r="BX151" s="472"/>
      <c r="BY151" s="472"/>
      <c r="BZ151" s="472"/>
      <c r="CA151" s="472"/>
      <c r="CB151" s="472"/>
      <c r="CC151" s="473"/>
      <c r="CD151" s="471"/>
      <c r="CE151" s="472"/>
      <c r="CF151" s="472"/>
      <c r="CG151" s="472"/>
      <c r="CH151" s="472"/>
      <c r="CI151" s="472"/>
      <c r="CJ151" s="472"/>
      <c r="CK151" s="472"/>
      <c r="CL151" s="473"/>
      <c r="CM151" s="606"/>
      <c r="CN151" s="607"/>
      <c r="CO151" s="607"/>
      <c r="CP151" s="607"/>
      <c r="CQ151" s="607"/>
      <c r="CR151" s="607"/>
      <c r="CS151" s="607"/>
      <c r="CT151" s="607"/>
      <c r="CU151" s="608"/>
    </row>
    <row r="152" spans="1:99" ht="19.5" customHeight="1" x14ac:dyDescent="0.25">
      <c r="A152" s="337" t="s">
        <v>648</v>
      </c>
      <c r="B152" s="338"/>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c r="AN152" s="338"/>
      <c r="AO152" s="338"/>
      <c r="AP152" s="338"/>
      <c r="AQ152" s="338"/>
      <c r="AR152" s="338"/>
      <c r="AS152" s="338"/>
      <c r="AT152" s="338"/>
      <c r="AU152" s="338"/>
      <c r="AV152" s="339" t="s">
        <v>649</v>
      </c>
      <c r="AW152" s="340"/>
      <c r="AX152" s="340"/>
      <c r="AY152" s="340"/>
      <c r="AZ152" s="340" t="s">
        <v>650</v>
      </c>
      <c r="BA152" s="340"/>
      <c r="BB152" s="340"/>
      <c r="BC152" s="340"/>
      <c r="BD152" s="340"/>
      <c r="BE152" s="340"/>
      <c r="BF152" s="340"/>
      <c r="BG152" s="340"/>
      <c r="BH152" s="340"/>
      <c r="BI152" s="340"/>
      <c r="BJ152" s="340"/>
      <c r="BK152" s="340"/>
      <c r="BL152" s="342"/>
      <c r="BM152" s="342"/>
      <c r="BN152" s="342"/>
      <c r="BO152" s="342"/>
      <c r="BP152" s="342"/>
      <c r="BQ152" s="342"/>
      <c r="BR152" s="342"/>
      <c r="BS152" s="342"/>
      <c r="BT152" s="342"/>
      <c r="BU152" s="342"/>
      <c r="BV152" s="342"/>
      <c r="BW152" s="342"/>
      <c r="BX152" s="342"/>
      <c r="BY152" s="342"/>
      <c r="BZ152" s="342"/>
      <c r="CA152" s="342"/>
      <c r="CB152" s="342"/>
      <c r="CC152" s="342"/>
      <c r="CD152" s="342"/>
      <c r="CE152" s="342"/>
      <c r="CF152" s="342"/>
      <c r="CG152" s="342"/>
      <c r="CH152" s="342"/>
      <c r="CI152" s="342"/>
      <c r="CJ152" s="342"/>
      <c r="CK152" s="342"/>
      <c r="CL152" s="342"/>
      <c r="CM152" s="342" t="s">
        <v>46</v>
      </c>
      <c r="CN152" s="342"/>
      <c r="CO152" s="342"/>
      <c r="CP152" s="342"/>
      <c r="CQ152" s="342"/>
      <c r="CR152" s="342"/>
      <c r="CS152" s="342"/>
      <c r="CT152" s="342"/>
      <c r="CU152" s="512"/>
    </row>
    <row r="153" spans="1:99" ht="27.75" customHeight="1" x14ac:dyDescent="0.25">
      <c r="A153" s="627" t="s">
        <v>578</v>
      </c>
      <c r="B153" s="628"/>
      <c r="C153" s="628"/>
      <c r="D153" s="628"/>
      <c r="E153" s="628"/>
      <c r="F153" s="628"/>
      <c r="G153" s="628"/>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9"/>
      <c r="AV153" s="630" t="s">
        <v>346</v>
      </c>
      <c r="AW153" s="493"/>
      <c r="AX153" s="493"/>
      <c r="AY153" s="493"/>
      <c r="AZ153" s="493" t="s">
        <v>347</v>
      </c>
      <c r="BA153" s="493"/>
      <c r="BB153" s="493"/>
      <c r="BC153" s="493"/>
      <c r="BD153" s="493"/>
      <c r="BE153" s="493"/>
      <c r="BF153" s="340"/>
      <c r="BG153" s="340"/>
      <c r="BH153" s="340"/>
      <c r="BI153" s="340"/>
      <c r="BJ153" s="340"/>
      <c r="BK153" s="340"/>
      <c r="BL153" s="341">
        <f>BL154+BL156+BL157</f>
        <v>0</v>
      </c>
      <c r="BM153" s="341"/>
      <c r="BN153" s="341"/>
      <c r="BO153" s="341"/>
      <c r="BP153" s="341"/>
      <c r="BQ153" s="341"/>
      <c r="BR153" s="341"/>
      <c r="BS153" s="341"/>
      <c r="BT153" s="341"/>
      <c r="BU153" s="341">
        <f t="shared" ref="BU153" si="24">BU154+BU156+BU157</f>
        <v>0</v>
      </c>
      <c r="BV153" s="341"/>
      <c r="BW153" s="341"/>
      <c r="BX153" s="341"/>
      <c r="BY153" s="341"/>
      <c r="BZ153" s="341"/>
      <c r="CA153" s="341"/>
      <c r="CB153" s="341"/>
      <c r="CC153" s="341"/>
      <c r="CD153" s="341">
        <f t="shared" ref="CD153" si="25">CD154+CD156+CD157</f>
        <v>0</v>
      </c>
      <c r="CE153" s="341"/>
      <c r="CF153" s="341"/>
      <c r="CG153" s="341"/>
      <c r="CH153" s="341"/>
      <c r="CI153" s="341"/>
      <c r="CJ153" s="341"/>
      <c r="CK153" s="341"/>
      <c r="CL153" s="341"/>
      <c r="CM153" s="342" t="s">
        <v>46</v>
      </c>
      <c r="CN153" s="342"/>
      <c r="CO153" s="342"/>
      <c r="CP153" s="342"/>
      <c r="CQ153" s="342"/>
      <c r="CR153" s="342"/>
      <c r="CS153" s="342"/>
      <c r="CT153" s="342"/>
      <c r="CU153" s="512"/>
    </row>
    <row r="154" spans="1:99" ht="15.75" x14ac:dyDescent="0.25">
      <c r="A154" s="458" t="s">
        <v>2</v>
      </c>
      <c r="B154" s="459"/>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c r="AO154" s="459"/>
      <c r="AP154" s="459"/>
      <c r="AQ154" s="459"/>
      <c r="AR154" s="459"/>
      <c r="AS154" s="459"/>
      <c r="AT154" s="459"/>
      <c r="AU154" s="459"/>
      <c r="AV154" s="621" t="s">
        <v>348</v>
      </c>
      <c r="AW154" s="441"/>
      <c r="AX154" s="441"/>
      <c r="AY154" s="442"/>
      <c r="AZ154" s="443"/>
      <c r="BA154" s="441"/>
      <c r="BB154" s="441"/>
      <c r="BC154" s="441"/>
      <c r="BD154" s="441"/>
      <c r="BE154" s="442"/>
      <c r="BF154" s="443"/>
      <c r="BG154" s="441"/>
      <c r="BH154" s="441"/>
      <c r="BI154" s="441"/>
      <c r="BJ154" s="441"/>
      <c r="BK154" s="442"/>
      <c r="BL154" s="504"/>
      <c r="BM154" s="466"/>
      <c r="BN154" s="466"/>
      <c r="BO154" s="466"/>
      <c r="BP154" s="466"/>
      <c r="BQ154" s="466"/>
      <c r="BR154" s="466"/>
      <c r="BS154" s="466"/>
      <c r="BT154" s="467"/>
      <c r="BU154" s="504"/>
      <c r="BV154" s="466"/>
      <c r="BW154" s="466"/>
      <c r="BX154" s="466"/>
      <c r="BY154" s="466"/>
      <c r="BZ154" s="466"/>
      <c r="CA154" s="466"/>
      <c r="CB154" s="466"/>
      <c r="CC154" s="467"/>
      <c r="CD154" s="504"/>
      <c r="CE154" s="466"/>
      <c r="CF154" s="466"/>
      <c r="CG154" s="466"/>
      <c r="CH154" s="466"/>
      <c r="CI154" s="466"/>
      <c r="CJ154" s="466"/>
      <c r="CK154" s="466"/>
      <c r="CL154" s="467"/>
      <c r="CM154" s="504" t="s">
        <v>46</v>
      </c>
      <c r="CN154" s="466"/>
      <c r="CO154" s="466"/>
      <c r="CP154" s="466"/>
      <c r="CQ154" s="466"/>
      <c r="CR154" s="466"/>
      <c r="CS154" s="466"/>
      <c r="CT154" s="466"/>
      <c r="CU154" s="474"/>
    </row>
    <row r="155" spans="1:99" ht="18.75" x14ac:dyDescent="0.25">
      <c r="A155" s="477" t="s">
        <v>579</v>
      </c>
      <c r="B155" s="478"/>
      <c r="C155" s="478"/>
      <c r="D155" s="478"/>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c r="AJ155" s="478"/>
      <c r="AK155" s="478"/>
      <c r="AL155" s="478"/>
      <c r="AM155" s="478"/>
      <c r="AN155" s="478"/>
      <c r="AO155" s="478"/>
      <c r="AP155" s="478"/>
      <c r="AQ155" s="478"/>
      <c r="AR155" s="478"/>
      <c r="AS155" s="478"/>
      <c r="AT155" s="478"/>
      <c r="AU155" s="478"/>
      <c r="AV155" s="623"/>
      <c r="AW155" s="355"/>
      <c r="AX155" s="355"/>
      <c r="AY155" s="463"/>
      <c r="AZ155" s="465"/>
      <c r="BA155" s="355"/>
      <c r="BB155" s="355"/>
      <c r="BC155" s="355"/>
      <c r="BD155" s="355"/>
      <c r="BE155" s="463"/>
      <c r="BF155" s="465"/>
      <c r="BG155" s="355"/>
      <c r="BH155" s="355"/>
      <c r="BI155" s="355"/>
      <c r="BJ155" s="355"/>
      <c r="BK155" s="463"/>
      <c r="BL155" s="471"/>
      <c r="BM155" s="472"/>
      <c r="BN155" s="472"/>
      <c r="BO155" s="472"/>
      <c r="BP155" s="472"/>
      <c r="BQ155" s="472"/>
      <c r="BR155" s="472"/>
      <c r="BS155" s="472"/>
      <c r="BT155" s="473"/>
      <c r="BU155" s="471"/>
      <c r="BV155" s="472"/>
      <c r="BW155" s="472"/>
      <c r="BX155" s="472"/>
      <c r="BY155" s="472"/>
      <c r="BZ155" s="472"/>
      <c r="CA155" s="472"/>
      <c r="CB155" s="472"/>
      <c r="CC155" s="473"/>
      <c r="CD155" s="471"/>
      <c r="CE155" s="472"/>
      <c r="CF155" s="472"/>
      <c r="CG155" s="472"/>
      <c r="CH155" s="472"/>
      <c r="CI155" s="472"/>
      <c r="CJ155" s="472"/>
      <c r="CK155" s="472"/>
      <c r="CL155" s="473"/>
      <c r="CM155" s="471"/>
      <c r="CN155" s="472"/>
      <c r="CO155" s="472"/>
      <c r="CP155" s="472"/>
      <c r="CQ155" s="472"/>
      <c r="CR155" s="472"/>
      <c r="CS155" s="472"/>
      <c r="CT155" s="472"/>
      <c r="CU155" s="476"/>
    </row>
    <row r="156" spans="1:99" ht="21.75" customHeight="1" x14ac:dyDescent="0.25">
      <c r="A156" s="337" t="s">
        <v>580</v>
      </c>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9" t="s">
        <v>349</v>
      </c>
      <c r="AW156" s="340"/>
      <c r="AX156" s="340"/>
      <c r="AY156" s="340"/>
      <c r="AZ156" s="340"/>
      <c r="BA156" s="340"/>
      <c r="BB156" s="340"/>
      <c r="BC156" s="340"/>
      <c r="BD156" s="340"/>
      <c r="BE156" s="340"/>
      <c r="BF156" s="340"/>
      <c r="BG156" s="340"/>
      <c r="BH156" s="340"/>
      <c r="BI156" s="340"/>
      <c r="BJ156" s="340"/>
      <c r="BK156" s="340"/>
      <c r="BL156" s="342"/>
      <c r="BM156" s="342"/>
      <c r="BN156" s="342"/>
      <c r="BO156" s="342"/>
      <c r="BP156" s="342"/>
      <c r="BQ156" s="342"/>
      <c r="BR156" s="342"/>
      <c r="BS156" s="342"/>
      <c r="BT156" s="342"/>
      <c r="BU156" s="342"/>
      <c r="BV156" s="342"/>
      <c r="BW156" s="342"/>
      <c r="BX156" s="342"/>
      <c r="BY156" s="342"/>
      <c r="BZ156" s="342"/>
      <c r="CA156" s="342"/>
      <c r="CB156" s="342"/>
      <c r="CC156" s="342"/>
      <c r="CD156" s="342"/>
      <c r="CE156" s="342"/>
      <c r="CF156" s="342"/>
      <c r="CG156" s="342"/>
      <c r="CH156" s="342"/>
      <c r="CI156" s="342"/>
      <c r="CJ156" s="342"/>
      <c r="CK156" s="342"/>
      <c r="CL156" s="342"/>
      <c r="CM156" s="342" t="s">
        <v>46</v>
      </c>
      <c r="CN156" s="342"/>
      <c r="CO156" s="342"/>
      <c r="CP156" s="342"/>
      <c r="CQ156" s="342"/>
      <c r="CR156" s="342"/>
      <c r="CS156" s="342"/>
      <c r="CT156" s="342"/>
      <c r="CU156" s="512"/>
    </row>
    <row r="157" spans="1:99" ht="16.5" customHeight="1" x14ac:dyDescent="0.25">
      <c r="A157" s="337" t="s">
        <v>581</v>
      </c>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9" t="s">
        <v>350</v>
      </c>
      <c r="AW157" s="340"/>
      <c r="AX157" s="340"/>
      <c r="AY157" s="340"/>
      <c r="AZ157" s="340"/>
      <c r="BA157" s="340"/>
      <c r="BB157" s="340"/>
      <c r="BC157" s="340"/>
      <c r="BD157" s="340"/>
      <c r="BE157" s="340"/>
      <c r="BF157" s="340"/>
      <c r="BG157" s="340"/>
      <c r="BH157" s="340"/>
      <c r="BI157" s="340"/>
      <c r="BJ157" s="340"/>
      <c r="BK157" s="340"/>
      <c r="BL157" s="342"/>
      <c r="BM157" s="342"/>
      <c r="BN157" s="342"/>
      <c r="BO157" s="342"/>
      <c r="BP157" s="342"/>
      <c r="BQ157" s="342"/>
      <c r="BR157" s="342"/>
      <c r="BS157" s="342"/>
      <c r="BT157" s="342"/>
      <c r="BU157" s="342"/>
      <c r="BV157" s="342"/>
      <c r="BW157" s="342"/>
      <c r="BX157" s="342"/>
      <c r="BY157" s="342"/>
      <c r="BZ157" s="342"/>
      <c r="CA157" s="342"/>
      <c r="CB157" s="342"/>
      <c r="CC157" s="342"/>
      <c r="CD157" s="342"/>
      <c r="CE157" s="342"/>
      <c r="CF157" s="342"/>
      <c r="CG157" s="342"/>
      <c r="CH157" s="342"/>
      <c r="CI157" s="342"/>
      <c r="CJ157" s="342"/>
      <c r="CK157" s="342"/>
      <c r="CL157" s="342"/>
      <c r="CM157" s="342" t="s">
        <v>46</v>
      </c>
      <c r="CN157" s="342"/>
      <c r="CO157" s="342"/>
      <c r="CP157" s="342"/>
      <c r="CQ157" s="342"/>
      <c r="CR157" s="342"/>
      <c r="CS157" s="342"/>
      <c r="CT157" s="342"/>
      <c r="CU157" s="512"/>
    </row>
    <row r="158" spans="1:99" ht="29.25" customHeight="1" x14ac:dyDescent="0.25">
      <c r="A158" s="631" t="s">
        <v>582</v>
      </c>
      <c r="B158" s="632"/>
      <c r="C158" s="632"/>
      <c r="D158" s="632"/>
      <c r="E158" s="632"/>
      <c r="F158" s="632"/>
      <c r="G158" s="632"/>
      <c r="H158" s="632"/>
      <c r="I158" s="632"/>
      <c r="J158" s="632"/>
      <c r="K158" s="632"/>
      <c r="L158" s="632"/>
      <c r="M158" s="632"/>
      <c r="N158" s="632"/>
      <c r="O158" s="632"/>
      <c r="P158" s="632"/>
      <c r="Q158" s="632"/>
      <c r="R158" s="632"/>
      <c r="S158" s="632"/>
      <c r="T158" s="632"/>
      <c r="U158" s="632"/>
      <c r="V158" s="632"/>
      <c r="W158" s="632"/>
      <c r="X158" s="632"/>
      <c r="Y158" s="632"/>
      <c r="Z158" s="632"/>
      <c r="AA158" s="632"/>
      <c r="AB158" s="632"/>
      <c r="AC158" s="632"/>
      <c r="AD158" s="632"/>
      <c r="AE158" s="632"/>
      <c r="AF158" s="632"/>
      <c r="AG158" s="632"/>
      <c r="AH158" s="632"/>
      <c r="AI158" s="632"/>
      <c r="AJ158" s="632"/>
      <c r="AK158" s="632"/>
      <c r="AL158" s="632"/>
      <c r="AM158" s="632"/>
      <c r="AN158" s="632"/>
      <c r="AO158" s="632"/>
      <c r="AP158" s="632"/>
      <c r="AQ158" s="632"/>
      <c r="AR158" s="632"/>
      <c r="AS158" s="632"/>
      <c r="AT158" s="632"/>
      <c r="AU158" s="632"/>
      <c r="AV158" s="630" t="s">
        <v>351</v>
      </c>
      <c r="AW158" s="493"/>
      <c r="AX158" s="493"/>
      <c r="AY158" s="493"/>
      <c r="AZ158" s="493" t="s">
        <v>46</v>
      </c>
      <c r="BA158" s="493"/>
      <c r="BB158" s="493"/>
      <c r="BC158" s="493"/>
      <c r="BD158" s="493"/>
      <c r="BE158" s="493"/>
      <c r="BF158" s="340"/>
      <c r="BG158" s="340"/>
      <c r="BH158" s="340"/>
      <c r="BI158" s="340"/>
      <c r="BJ158" s="340"/>
      <c r="BK158" s="340"/>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t="s">
        <v>46</v>
      </c>
      <c r="CN158" s="342"/>
      <c r="CO158" s="342"/>
      <c r="CP158" s="342"/>
      <c r="CQ158" s="342"/>
      <c r="CR158" s="342"/>
      <c r="CS158" s="342"/>
      <c r="CT158" s="342"/>
      <c r="CU158" s="512"/>
    </row>
    <row r="159" spans="1:99" ht="15.75" x14ac:dyDescent="0.25">
      <c r="A159" s="458" t="s">
        <v>4</v>
      </c>
      <c r="B159" s="459"/>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c r="AO159" s="459"/>
      <c r="AP159" s="459"/>
      <c r="AQ159" s="459"/>
      <c r="AR159" s="459"/>
      <c r="AS159" s="459"/>
      <c r="AT159" s="459"/>
      <c r="AU159" s="459"/>
      <c r="AV159" s="621" t="s">
        <v>352</v>
      </c>
      <c r="AW159" s="441"/>
      <c r="AX159" s="441"/>
      <c r="AY159" s="442"/>
      <c r="AZ159" s="443" t="s">
        <v>353</v>
      </c>
      <c r="BA159" s="441"/>
      <c r="BB159" s="441"/>
      <c r="BC159" s="441"/>
      <c r="BD159" s="441"/>
      <c r="BE159" s="442"/>
      <c r="BF159" s="443"/>
      <c r="BG159" s="441"/>
      <c r="BH159" s="441"/>
      <c r="BI159" s="441"/>
      <c r="BJ159" s="441"/>
      <c r="BK159" s="442"/>
      <c r="BL159" s="504"/>
      <c r="BM159" s="466"/>
      <c r="BN159" s="466"/>
      <c r="BO159" s="466"/>
      <c r="BP159" s="466"/>
      <c r="BQ159" s="466"/>
      <c r="BR159" s="466"/>
      <c r="BS159" s="466"/>
      <c r="BT159" s="467"/>
      <c r="BU159" s="504"/>
      <c r="BV159" s="466"/>
      <c r="BW159" s="466"/>
      <c r="BX159" s="466"/>
      <c r="BY159" s="466"/>
      <c r="BZ159" s="466"/>
      <c r="CA159" s="466"/>
      <c r="CB159" s="466"/>
      <c r="CC159" s="467"/>
      <c r="CD159" s="504"/>
      <c r="CE159" s="466"/>
      <c r="CF159" s="466"/>
      <c r="CG159" s="466"/>
      <c r="CH159" s="466"/>
      <c r="CI159" s="466"/>
      <c r="CJ159" s="466"/>
      <c r="CK159" s="466"/>
      <c r="CL159" s="467"/>
      <c r="CM159" s="504" t="s">
        <v>46</v>
      </c>
      <c r="CN159" s="466"/>
      <c r="CO159" s="466"/>
      <c r="CP159" s="466"/>
      <c r="CQ159" s="466"/>
      <c r="CR159" s="466"/>
      <c r="CS159" s="466"/>
      <c r="CT159" s="466"/>
      <c r="CU159" s="474"/>
    </row>
    <row r="160" spans="1:99" ht="15.75" x14ac:dyDescent="0.25">
      <c r="A160" s="477" t="s">
        <v>354</v>
      </c>
      <c r="B160" s="478"/>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8"/>
      <c r="AL160" s="478"/>
      <c r="AM160" s="478"/>
      <c r="AN160" s="478"/>
      <c r="AO160" s="478"/>
      <c r="AP160" s="478"/>
      <c r="AQ160" s="478"/>
      <c r="AR160" s="478"/>
      <c r="AS160" s="478"/>
      <c r="AT160" s="478"/>
      <c r="AU160" s="478"/>
      <c r="AV160" s="623"/>
      <c r="AW160" s="355"/>
      <c r="AX160" s="355"/>
      <c r="AY160" s="463"/>
      <c r="AZ160" s="465"/>
      <c r="BA160" s="355"/>
      <c r="BB160" s="355"/>
      <c r="BC160" s="355"/>
      <c r="BD160" s="355"/>
      <c r="BE160" s="463"/>
      <c r="BF160" s="465"/>
      <c r="BG160" s="355"/>
      <c r="BH160" s="355"/>
      <c r="BI160" s="355"/>
      <c r="BJ160" s="355"/>
      <c r="BK160" s="463"/>
      <c r="BL160" s="471"/>
      <c r="BM160" s="472"/>
      <c r="BN160" s="472"/>
      <c r="BO160" s="472"/>
      <c r="BP160" s="472"/>
      <c r="BQ160" s="472"/>
      <c r="BR160" s="472"/>
      <c r="BS160" s="472"/>
      <c r="BT160" s="473"/>
      <c r="BU160" s="471"/>
      <c r="BV160" s="472"/>
      <c r="BW160" s="472"/>
      <c r="BX160" s="472"/>
      <c r="BY160" s="472"/>
      <c r="BZ160" s="472"/>
      <c r="CA160" s="472"/>
      <c r="CB160" s="472"/>
      <c r="CC160" s="473"/>
      <c r="CD160" s="471"/>
      <c r="CE160" s="472"/>
      <c r="CF160" s="472"/>
      <c r="CG160" s="472"/>
      <c r="CH160" s="472"/>
      <c r="CI160" s="472"/>
      <c r="CJ160" s="472"/>
      <c r="CK160" s="472"/>
      <c r="CL160" s="473"/>
      <c r="CM160" s="471"/>
      <c r="CN160" s="472"/>
      <c r="CO160" s="472"/>
      <c r="CP160" s="472"/>
      <c r="CQ160" s="472"/>
      <c r="CR160" s="472"/>
      <c r="CS160" s="472"/>
      <c r="CT160" s="472"/>
      <c r="CU160" s="476"/>
    </row>
    <row r="161" spans="1:105" ht="13.5" customHeight="1" thickBot="1" x14ac:dyDescent="0.3">
      <c r="A161" s="637"/>
      <c r="B161" s="638"/>
      <c r="C161" s="638"/>
      <c r="D161" s="638"/>
      <c r="E161" s="638"/>
      <c r="F161" s="638"/>
      <c r="G161" s="638"/>
      <c r="H161" s="638"/>
      <c r="I161" s="638"/>
      <c r="J161" s="638"/>
      <c r="K161" s="638"/>
      <c r="L161" s="638"/>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38"/>
      <c r="AL161" s="638"/>
      <c r="AM161" s="638"/>
      <c r="AN161" s="638"/>
      <c r="AO161" s="638"/>
      <c r="AP161" s="638"/>
      <c r="AQ161" s="638"/>
      <c r="AR161" s="638"/>
      <c r="AS161" s="638"/>
      <c r="AT161" s="638"/>
      <c r="AU161" s="638"/>
      <c r="AV161" s="398"/>
      <c r="AW161" s="399"/>
      <c r="AX161" s="399"/>
      <c r="AY161" s="399"/>
      <c r="AZ161" s="399"/>
      <c r="BA161" s="399"/>
      <c r="BB161" s="399"/>
      <c r="BC161" s="399"/>
      <c r="BD161" s="399"/>
      <c r="BE161" s="399"/>
      <c r="BF161" s="399"/>
      <c r="BG161" s="399"/>
      <c r="BH161" s="399"/>
      <c r="BI161" s="399"/>
      <c r="BJ161" s="399"/>
      <c r="BK161" s="399"/>
      <c r="BL161" s="639"/>
      <c r="BM161" s="639"/>
      <c r="BN161" s="639"/>
      <c r="BO161" s="639"/>
      <c r="BP161" s="639"/>
      <c r="BQ161" s="639"/>
      <c r="BR161" s="639"/>
      <c r="BS161" s="639"/>
      <c r="BT161" s="639"/>
      <c r="BU161" s="640"/>
      <c r="BV161" s="640"/>
      <c r="BW161" s="640"/>
      <c r="BX161" s="640"/>
      <c r="BY161" s="640"/>
      <c r="BZ161" s="640"/>
      <c r="CA161" s="640"/>
      <c r="CB161" s="640"/>
      <c r="CC161" s="640"/>
      <c r="CD161" s="640"/>
      <c r="CE161" s="640"/>
      <c r="CF161" s="640"/>
      <c r="CG161" s="640"/>
      <c r="CH161" s="640"/>
      <c r="CI161" s="640"/>
      <c r="CJ161" s="640"/>
      <c r="CK161" s="640"/>
      <c r="CL161" s="640"/>
      <c r="CM161" s="641"/>
      <c r="CN161" s="642"/>
      <c r="CO161" s="642"/>
      <c r="CP161" s="642"/>
      <c r="CQ161" s="642"/>
      <c r="CR161" s="642"/>
      <c r="CS161" s="642"/>
      <c r="CT161" s="642"/>
      <c r="CU161" s="643"/>
    </row>
    <row r="162" spans="1:105" s="86" customFormat="1" ht="11.25" customHeight="1" x14ac:dyDescent="0.2">
      <c r="A162" s="243"/>
      <c r="B162" s="243"/>
      <c r="C162" s="243"/>
      <c r="D162" s="243"/>
      <c r="E162" s="243"/>
      <c r="F162" s="243"/>
      <c r="G162" s="243"/>
      <c r="H162" s="243"/>
      <c r="I162" s="243"/>
      <c r="J162" s="243"/>
      <c r="K162" s="243"/>
      <c r="L162" s="243"/>
      <c r="M162" s="243"/>
      <c r="N162" s="243"/>
      <c r="O162" s="243"/>
      <c r="P162" s="243"/>
      <c r="Q162" s="243"/>
      <c r="R162" s="243"/>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row>
    <row r="163" spans="1:105" s="87" customFormat="1" ht="12" customHeight="1" x14ac:dyDescent="0.2">
      <c r="A163" s="245" t="s">
        <v>355</v>
      </c>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row>
    <row r="164" spans="1:105" s="87" customFormat="1" ht="12" customHeight="1" x14ac:dyDescent="0.2">
      <c r="A164" s="245" t="s">
        <v>356</v>
      </c>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row>
    <row r="165" spans="1:105" s="87" customFormat="1" ht="12" customHeight="1" x14ac:dyDescent="0.2">
      <c r="A165" s="245" t="s">
        <v>357</v>
      </c>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row>
    <row r="166" spans="1:105" s="87" customFormat="1" ht="12" customHeight="1" x14ac:dyDescent="0.2">
      <c r="A166" s="246" t="s">
        <v>358</v>
      </c>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246"/>
      <c r="CY166" s="246"/>
      <c r="CZ166" s="246"/>
      <c r="DA166" s="246"/>
    </row>
    <row r="167" spans="1:105" s="87" customFormat="1" ht="12" customHeight="1" x14ac:dyDescent="0.2">
      <c r="A167" s="246" t="s">
        <v>359</v>
      </c>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246"/>
      <c r="CY167" s="246"/>
      <c r="CZ167" s="246"/>
      <c r="DA167" s="246"/>
    </row>
    <row r="168" spans="1:105" s="87" customFormat="1" ht="12" customHeight="1" x14ac:dyDescent="0.2">
      <c r="A168" s="246" t="s">
        <v>647</v>
      </c>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row>
    <row r="169" spans="1:105" s="87" customFormat="1" ht="11.25" customHeight="1" x14ac:dyDescent="0.2">
      <c r="A169" s="635" t="s">
        <v>360</v>
      </c>
      <c r="B169" s="634"/>
      <c r="C169" s="634"/>
      <c r="D169" s="634"/>
      <c r="E169" s="634"/>
      <c r="F169" s="634"/>
      <c r="G169" s="634"/>
      <c r="H169" s="634"/>
      <c r="I169" s="634"/>
      <c r="J169" s="634"/>
      <c r="K169" s="634"/>
      <c r="L169" s="634"/>
      <c r="M169" s="634"/>
      <c r="N169" s="634"/>
      <c r="O169" s="634"/>
      <c r="P169" s="634"/>
      <c r="Q169" s="634"/>
      <c r="R169" s="634"/>
      <c r="S169" s="634"/>
      <c r="T169" s="634"/>
      <c r="U169" s="634"/>
      <c r="V169" s="634"/>
      <c r="W169" s="634"/>
      <c r="X169" s="634"/>
      <c r="Y169" s="634"/>
      <c r="Z169" s="634"/>
      <c r="AA169" s="634"/>
      <c r="AB169" s="634"/>
      <c r="AC169" s="634"/>
      <c r="AD169" s="634"/>
      <c r="AE169" s="634"/>
      <c r="AF169" s="634"/>
      <c r="AG169" s="634"/>
      <c r="AH169" s="634"/>
      <c r="AI169" s="634"/>
      <c r="AJ169" s="634"/>
      <c r="AK169" s="634"/>
      <c r="AL169" s="634"/>
      <c r="AM169" s="634"/>
      <c r="AN169" s="634"/>
      <c r="AO169" s="634"/>
      <c r="AP169" s="634"/>
      <c r="AQ169" s="634"/>
      <c r="AR169" s="634"/>
      <c r="AS169" s="634"/>
      <c r="AT169" s="634"/>
      <c r="AU169" s="634"/>
      <c r="AV169" s="634"/>
      <c r="AW169" s="634"/>
      <c r="AX169" s="634"/>
      <c r="AY169" s="634"/>
      <c r="AZ169" s="634"/>
      <c r="BA169" s="634"/>
      <c r="BB169" s="634"/>
      <c r="BC169" s="634"/>
      <c r="BD169" s="634"/>
      <c r="BE169" s="634"/>
      <c r="BF169" s="634"/>
      <c r="BG169" s="634"/>
      <c r="BH169" s="634"/>
      <c r="BI169" s="634"/>
      <c r="BJ169" s="634"/>
      <c r="BK169" s="634"/>
      <c r="BL169" s="634"/>
      <c r="BM169" s="634"/>
      <c r="BN169" s="634"/>
      <c r="BO169" s="634"/>
      <c r="BP169" s="634"/>
      <c r="BQ169" s="634"/>
      <c r="BR169" s="634"/>
      <c r="BS169" s="634"/>
      <c r="BT169" s="634"/>
      <c r="BU169" s="634"/>
      <c r="BV169" s="634"/>
      <c r="BW169" s="634"/>
      <c r="BX169" s="634"/>
      <c r="BY169" s="634"/>
      <c r="BZ169" s="634"/>
      <c r="CA169" s="634"/>
      <c r="CB169" s="634"/>
      <c r="CC169" s="634"/>
      <c r="CD169" s="634"/>
      <c r="CE169" s="634"/>
      <c r="CF169" s="634"/>
      <c r="CG169" s="634"/>
      <c r="CH169" s="634"/>
      <c r="CI169" s="634"/>
      <c r="CJ169" s="634"/>
      <c r="CK169" s="634"/>
      <c r="CL169" s="634"/>
      <c r="CM169" s="634"/>
      <c r="CN169" s="634"/>
      <c r="CO169" s="634"/>
      <c r="CP169" s="634"/>
      <c r="CQ169" s="634"/>
      <c r="CR169" s="634"/>
      <c r="CS169" s="634"/>
      <c r="CT169" s="634"/>
      <c r="CU169" s="634"/>
      <c r="CV169" s="246"/>
      <c r="CW169" s="246"/>
      <c r="CX169" s="246"/>
      <c r="CY169" s="246"/>
      <c r="CZ169" s="246"/>
      <c r="DA169" s="246"/>
    </row>
    <row r="170" spans="1:105" s="87" customFormat="1" ht="11.25" x14ac:dyDescent="0.2">
      <c r="A170" s="634"/>
      <c r="B170" s="634"/>
      <c r="C170" s="634"/>
      <c r="D170" s="634"/>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c r="AA170" s="634"/>
      <c r="AB170" s="634"/>
      <c r="AC170" s="634"/>
      <c r="AD170" s="634"/>
      <c r="AE170" s="634"/>
      <c r="AF170" s="634"/>
      <c r="AG170" s="634"/>
      <c r="AH170" s="634"/>
      <c r="AI170" s="634"/>
      <c r="AJ170" s="634"/>
      <c r="AK170" s="634"/>
      <c r="AL170" s="634"/>
      <c r="AM170" s="634"/>
      <c r="AN170" s="634"/>
      <c r="AO170" s="634"/>
      <c r="AP170" s="634"/>
      <c r="AQ170" s="634"/>
      <c r="AR170" s="634"/>
      <c r="AS170" s="634"/>
      <c r="AT170" s="634"/>
      <c r="AU170" s="634"/>
      <c r="AV170" s="634"/>
      <c r="AW170" s="634"/>
      <c r="AX170" s="634"/>
      <c r="AY170" s="634"/>
      <c r="AZ170" s="634"/>
      <c r="BA170" s="634"/>
      <c r="BB170" s="634"/>
      <c r="BC170" s="634"/>
      <c r="BD170" s="634"/>
      <c r="BE170" s="634"/>
      <c r="BF170" s="634"/>
      <c r="BG170" s="634"/>
      <c r="BH170" s="634"/>
      <c r="BI170" s="634"/>
      <c r="BJ170" s="634"/>
      <c r="BK170" s="634"/>
      <c r="BL170" s="634"/>
      <c r="BM170" s="634"/>
      <c r="BN170" s="634"/>
      <c r="BO170" s="634"/>
      <c r="BP170" s="634"/>
      <c r="BQ170" s="634"/>
      <c r="BR170" s="634"/>
      <c r="BS170" s="634"/>
      <c r="BT170" s="634"/>
      <c r="BU170" s="634"/>
      <c r="BV170" s="634"/>
      <c r="BW170" s="634"/>
      <c r="BX170" s="634"/>
      <c r="BY170" s="634"/>
      <c r="BZ170" s="634"/>
      <c r="CA170" s="634"/>
      <c r="CB170" s="634"/>
      <c r="CC170" s="634"/>
      <c r="CD170" s="634"/>
      <c r="CE170" s="634"/>
      <c r="CF170" s="634"/>
      <c r="CG170" s="634"/>
      <c r="CH170" s="634"/>
      <c r="CI170" s="634"/>
      <c r="CJ170" s="634"/>
      <c r="CK170" s="634"/>
      <c r="CL170" s="634"/>
      <c r="CM170" s="634"/>
      <c r="CN170" s="634"/>
      <c r="CO170" s="634"/>
      <c r="CP170" s="634"/>
      <c r="CQ170" s="634"/>
      <c r="CR170" s="634"/>
      <c r="CS170" s="634"/>
      <c r="CT170" s="634"/>
      <c r="CU170" s="634"/>
      <c r="CV170" s="246"/>
      <c r="CW170" s="246"/>
      <c r="CX170" s="246"/>
      <c r="CY170" s="246"/>
      <c r="CZ170" s="246"/>
      <c r="DA170" s="246"/>
    </row>
    <row r="171" spans="1:105" s="87" customFormat="1" ht="12" customHeight="1" x14ac:dyDescent="0.2">
      <c r="A171" s="246" t="s">
        <v>361</v>
      </c>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c r="CO171" s="246"/>
      <c r="CP171" s="246"/>
      <c r="CQ171" s="246"/>
      <c r="CR171" s="246"/>
      <c r="CS171" s="246"/>
      <c r="CT171" s="246"/>
      <c r="CU171" s="246"/>
      <c r="CV171" s="246"/>
      <c r="CW171" s="246"/>
      <c r="CX171" s="246"/>
      <c r="CY171" s="246"/>
      <c r="CZ171" s="246"/>
      <c r="DA171" s="246"/>
    </row>
    <row r="172" spans="1:105" s="87" customFormat="1" ht="11.25" customHeight="1" x14ac:dyDescent="0.2">
      <c r="A172" s="633" t="s">
        <v>362</v>
      </c>
      <c r="B172" s="634"/>
      <c r="C172" s="634"/>
      <c r="D172" s="63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c r="AL172" s="634"/>
      <c r="AM172" s="634"/>
      <c r="AN172" s="634"/>
      <c r="AO172" s="634"/>
      <c r="AP172" s="634"/>
      <c r="AQ172" s="634"/>
      <c r="AR172" s="634"/>
      <c r="AS172" s="634"/>
      <c r="AT172" s="634"/>
      <c r="AU172" s="634"/>
      <c r="AV172" s="634"/>
      <c r="AW172" s="634"/>
      <c r="AX172" s="634"/>
      <c r="AY172" s="634"/>
      <c r="AZ172" s="634"/>
      <c r="BA172" s="634"/>
      <c r="BB172" s="634"/>
      <c r="BC172" s="634"/>
      <c r="BD172" s="634"/>
      <c r="BE172" s="634"/>
      <c r="BF172" s="634"/>
      <c r="BG172" s="634"/>
      <c r="BH172" s="634"/>
      <c r="BI172" s="634"/>
      <c r="BJ172" s="634"/>
      <c r="BK172" s="634"/>
      <c r="BL172" s="634"/>
      <c r="BM172" s="634"/>
      <c r="BN172" s="634"/>
      <c r="BO172" s="634"/>
      <c r="BP172" s="634"/>
      <c r="BQ172" s="634"/>
      <c r="BR172" s="634"/>
      <c r="BS172" s="634"/>
      <c r="BT172" s="634"/>
      <c r="BU172" s="634"/>
      <c r="BV172" s="634"/>
      <c r="BW172" s="634"/>
      <c r="BX172" s="634"/>
      <c r="BY172" s="634"/>
      <c r="BZ172" s="634"/>
      <c r="CA172" s="634"/>
      <c r="CB172" s="634"/>
      <c r="CC172" s="634"/>
      <c r="CD172" s="634"/>
      <c r="CE172" s="634"/>
      <c r="CF172" s="634"/>
      <c r="CG172" s="634"/>
      <c r="CH172" s="634"/>
      <c r="CI172" s="634"/>
      <c r="CJ172" s="634"/>
      <c r="CK172" s="634"/>
      <c r="CL172" s="634"/>
      <c r="CM172" s="634"/>
      <c r="CN172" s="634"/>
      <c r="CO172" s="634"/>
      <c r="CP172" s="634"/>
      <c r="CQ172" s="634"/>
      <c r="CR172" s="634"/>
      <c r="CS172" s="634"/>
      <c r="CT172" s="634"/>
      <c r="CU172" s="634"/>
      <c r="CV172" s="246"/>
      <c r="CW172" s="246"/>
      <c r="CX172" s="246"/>
      <c r="CY172" s="246"/>
      <c r="CZ172" s="246"/>
      <c r="DA172" s="246"/>
    </row>
    <row r="173" spans="1:105" s="87" customFormat="1" ht="11.25" customHeight="1" x14ac:dyDescent="0.2">
      <c r="A173" s="635"/>
      <c r="B173" s="634"/>
      <c r="C173" s="634"/>
      <c r="D173" s="634"/>
      <c r="E173" s="634"/>
      <c r="F173" s="634"/>
      <c r="G173" s="634"/>
      <c r="H173" s="634"/>
      <c r="I173" s="634"/>
      <c r="J173" s="634"/>
      <c r="K173" s="634"/>
      <c r="L173" s="634"/>
      <c r="M173" s="634"/>
      <c r="N173" s="634"/>
      <c r="O173" s="634"/>
      <c r="P173" s="634"/>
      <c r="Q173" s="634"/>
      <c r="R173" s="634"/>
      <c r="S173" s="634"/>
      <c r="T173" s="634"/>
      <c r="U173" s="634"/>
      <c r="V173" s="634"/>
      <c r="W173" s="634"/>
      <c r="X173" s="634"/>
      <c r="Y173" s="634"/>
      <c r="Z173" s="634"/>
      <c r="AA173" s="634"/>
      <c r="AB173" s="634"/>
      <c r="AC173" s="634"/>
      <c r="AD173" s="634"/>
      <c r="AE173" s="634"/>
      <c r="AF173" s="634"/>
      <c r="AG173" s="634"/>
      <c r="AH173" s="634"/>
      <c r="AI173" s="634"/>
      <c r="AJ173" s="634"/>
      <c r="AK173" s="634"/>
      <c r="AL173" s="634"/>
      <c r="AM173" s="634"/>
      <c r="AN173" s="634"/>
      <c r="AO173" s="634"/>
      <c r="AP173" s="634"/>
      <c r="AQ173" s="634"/>
      <c r="AR173" s="634"/>
      <c r="AS173" s="634"/>
      <c r="AT173" s="634"/>
      <c r="AU173" s="634"/>
      <c r="AV173" s="634"/>
      <c r="AW173" s="634"/>
      <c r="AX173" s="634"/>
      <c r="AY173" s="634"/>
      <c r="AZ173" s="634"/>
      <c r="BA173" s="634"/>
      <c r="BB173" s="634"/>
      <c r="BC173" s="634"/>
      <c r="BD173" s="634"/>
      <c r="BE173" s="634"/>
      <c r="BF173" s="634"/>
      <c r="BG173" s="634"/>
      <c r="BH173" s="634"/>
      <c r="BI173" s="634"/>
      <c r="BJ173" s="634"/>
      <c r="BK173" s="634"/>
      <c r="BL173" s="634"/>
      <c r="BM173" s="634"/>
      <c r="BN173" s="634"/>
      <c r="BO173" s="634"/>
      <c r="BP173" s="634"/>
      <c r="BQ173" s="634"/>
      <c r="BR173" s="634"/>
      <c r="BS173" s="634"/>
      <c r="BT173" s="634"/>
      <c r="BU173" s="634"/>
      <c r="BV173" s="634"/>
      <c r="BW173" s="634"/>
      <c r="BX173" s="634"/>
      <c r="BY173" s="634"/>
      <c r="BZ173" s="634"/>
      <c r="CA173" s="634"/>
      <c r="CB173" s="634"/>
      <c r="CC173" s="634"/>
      <c r="CD173" s="634"/>
      <c r="CE173" s="634"/>
      <c r="CF173" s="634"/>
      <c r="CG173" s="634"/>
      <c r="CH173" s="634"/>
      <c r="CI173" s="634"/>
      <c r="CJ173" s="634"/>
      <c r="CK173" s="634"/>
      <c r="CL173" s="634"/>
      <c r="CM173" s="634"/>
      <c r="CN173" s="634"/>
      <c r="CO173" s="634"/>
      <c r="CP173" s="634"/>
      <c r="CQ173" s="634"/>
      <c r="CR173" s="634"/>
      <c r="CS173" s="634"/>
      <c r="CT173" s="634"/>
      <c r="CU173" s="634"/>
      <c r="CV173" s="246"/>
      <c r="CW173" s="246"/>
      <c r="CX173" s="246"/>
      <c r="CY173" s="246"/>
      <c r="CZ173" s="246"/>
      <c r="DA173" s="246"/>
    </row>
    <row r="174" spans="1:105" s="87" customFormat="1" ht="11.25" customHeight="1" x14ac:dyDescent="0.2">
      <c r="A174" s="634"/>
      <c r="B174" s="634"/>
      <c r="C174" s="634"/>
      <c r="D174" s="634"/>
      <c r="E174" s="634"/>
      <c r="F174" s="634"/>
      <c r="G174" s="634"/>
      <c r="H174" s="634"/>
      <c r="I174" s="634"/>
      <c r="J174" s="634"/>
      <c r="K174" s="634"/>
      <c r="L174" s="634"/>
      <c r="M174" s="634"/>
      <c r="N174" s="634"/>
      <c r="O174" s="634"/>
      <c r="P174" s="634"/>
      <c r="Q174" s="634"/>
      <c r="R174" s="634"/>
      <c r="S174" s="634"/>
      <c r="T174" s="634"/>
      <c r="U174" s="634"/>
      <c r="V174" s="634"/>
      <c r="W174" s="634"/>
      <c r="X174" s="634"/>
      <c r="Y174" s="634"/>
      <c r="Z174" s="634"/>
      <c r="AA174" s="634"/>
      <c r="AB174" s="634"/>
      <c r="AC174" s="634"/>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4"/>
      <c r="AY174" s="634"/>
      <c r="AZ174" s="634"/>
      <c r="BA174" s="634"/>
      <c r="BB174" s="634"/>
      <c r="BC174" s="634"/>
      <c r="BD174" s="634"/>
      <c r="BE174" s="634"/>
      <c r="BF174" s="634"/>
      <c r="BG174" s="634"/>
      <c r="BH174" s="634"/>
      <c r="BI174" s="634"/>
      <c r="BJ174" s="634"/>
      <c r="BK174" s="634"/>
      <c r="BL174" s="634"/>
      <c r="BM174" s="634"/>
      <c r="BN174" s="634"/>
      <c r="BO174" s="634"/>
      <c r="BP174" s="634"/>
      <c r="BQ174" s="634"/>
      <c r="BR174" s="634"/>
      <c r="BS174" s="634"/>
      <c r="BT174" s="634"/>
      <c r="BU174" s="634"/>
      <c r="BV174" s="634"/>
      <c r="BW174" s="634"/>
      <c r="BX174" s="634"/>
      <c r="BY174" s="634"/>
      <c r="BZ174" s="634"/>
      <c r="CA174" s="634"/>
      <c r="CB174" s="634"/>
      <c r="CC174" s="634"/>
      <c r="CD174" s="634"/>
      <c r="CE174" s="634"/>
      <c r="CF174" s="634"/>
      <c r="CG174" s="634"/>
      <c r="CH174" s="634"/>
      <c r="CI174" s="634"/>
      <c r="CJ174" s="634"/>
      <c r="CK174" s="634"/>
      <c r="CL174" s="634"/>
      <c r="CM174" s="634"/>
      <c r="CN174" s="634"/>
      <c r="CO174" s="634"/>
      <c r="CP174" s="634"/>
      <c r="CQ174" s="634"/>
      <c r="CR174" s="634"/>
      <c r="CS174" s="634"/>
      <c r="CT174" s="634"/>
      <c r="CU174" s="634"/>
      <c r="CV174" s="246"/>
      <c r="CW174" s="246"/>
      <c r="CX174" s="246"/>
      <c r="CY174" s="246"/>
      <c r="CZ174" s="246"/>
      <c r="DA174" s="246"/>
    </row>
    <row r="175" spans="1:105" s="87" customFormat="1" ht="11.25" customHeight="1" x14ac:dyDescent="0.2">
      <c r="A175" s="633" t="s">
        <v>363</v>
      </c>
      <c r="B175" s="636"/>
      <c r="C175" s="636"/>
      <c r="D175" s="636"/>
      <c r="E175" s="636"/>
      <c r="F175" s="636"/>
      <c r="G175" s="636"/>
      <c r="H175" s="636"/>
      <c r="I175" s="636"/>
      <c r="J175" s="636"/>
      <c r="K175" s="636"/>
      <c r="L175" s="636"/>
      <c r="M175" s="636"/>
      <c r="N175" s="636"/>
      <c r="O175" s="636"/>
      <c r="P175" s="636"/>
      <c r="Q175" s="636"/>
      <c r="R175" s="636"/>
      <c r="S175" s="636"/>
      <c r="T175" s="636"/>
      <c r="U175" s="636"/>
      <c r="V175" s="636"/>
      <c r="W175" s="636"/>
      <c r="X175" s="636"/>
      <c r="Y175" s="636"/>
      <c r="Z175" s="636"/>
      <c r="AA175" s="636"/>
      <c r="AB175" s="636"/>
      <c r="AC175" s="636"/>
      <c r="AD175" s="636"/>
      <c r="AE175" s="636"/>
      <c r="AF175" s="636"/>
      <c r="AG175" s="636"/>
      <c r="AH175" s="636"/>
      <c r="AI175" s="636"/>
      <c r="AJ175" s="636"/>
      <c r="AK175" s="636"/>
      <c r="AL175" s="636"/>
      <c r="AM175" s="636"/>
      <c r="AN175" s="636"/>
      <c r="AO175" s="636"/>
      <c r="AP175" s="636"/>
      <c r="AQ175" s="636"/>
      <c r="AR175" s="636"/>
      <c r="AS175" s="636"/>
      <c r="AT175" s="636"/>
      <c r="AU175" s="636"/>
      <c r="AV175" s="636"/>
      <c r="AW175" s="636"/>
      <c r="AX175" s="636"/>
      <c r="AY175" s="636"/>
      <c r="AZ175" s="636"/>
      <c r="BA175" s="636"/>
      <c r="BB175" s="636"/>
      <c r="BC175" s="636"/>
      <c r="BD175" s="636"/>
      <c r="BE175" s="636"/>
      <c r="BF175" s="636"/>
      <c r="BG175" s="636"/>
      <c r="BH175" s="636"/>
      <c r="BI175" s="636"/>
      <c r="BJ175" s="636"/>
      <c r="BK175" s="636"/>
      <c r="BL175" s="636"/>
      <c r="BM175" s="636"/>
      <c r="BN175" s="636"/>
      <c r="BO175" s="636"/>
      <c r="BP175" s="636"/>
      <c r="BQ175" s="636"/>
      <c r="BR175" s="636"/>
      <c r="BS175" s="636"/>
      <c r="BT175" s="636"/>
      <c r="BU175" s="636"/>
      <c r="BV175" s="636"/>
      <c r="BW175" s="636"/>
      <c r="BX175" s="636"/>
      <c r="BY175" s="636"/>
      <c r="BZ175" s="636"/>
      <c r="CA175" s="636"/>
      <c r="CB175" s="636"/>
      <c r="CC175" s="636"/>
      <c r="CD175" s="636"/>
      <c r="CE175" s="636"/>
      <c r="CF175" s="636"/>
      <c r="CG175" s="636"/>
      <c r="CH175" s="636"/>
      <c r="CI175" s="636"/>
      <c r="CJ175" s="636"/>
      <c r="CK175" s="636"/>
      <c r="CL175" s="636"/>
      <c r="CM175" s="636"/>
      <c r="CN175" s="636"/>
      <c r="CO175" s="636"/>
      <c r="CP175" s="636"/>
      <c r="CQ175" s="636"/>
      <c r="CR175" s="636"/>
      <c r="CS175" s="636"/>
      <c r="CT175" s="636"/>
      <c r="CU175" s="636"/>
      <c r="CV175" s="246"/>
      <c r="CW175" s="246"/>
      <c r="CX175" s="246"/>
      <c r="CY175" s="246"/>
      <c r="CZ175" s="246"/>
      <c r="DA175" s="246"/>
    </row>
    <row r="176" spans="1:105" s="87" customFormat="1" ht="11.25" customHeight="1" x14ac:dyDescent="0.2">
      <c r="A176" s="636"/>
      <c r="B176" s="636"/>
      <c r="C176" s="636"/>
      <c r="D176" s="636"/>
      <c r="E176" s="636"/>
      <c r="F176" s="636"/>
      <c r="G176" s="636"/>
      <c r="H176" s="636"/>
      <c r="I176" s="636"/>
      <c r="J176" s="636"/>
      <c r="K176" s="636"/>
      <c r="L176" s="636"/>
      <c r="M176" s="636"/>
      <c r="N176" s="636"/>
      <c r="O176" s="636"/>
      <c r="P176" s="636"/>
      <c r="Q176" s="636"/>
      <c r="R176" s="636"/>
      <c r="S176" s="636"/>
      <c r="T176" s="636"/>
      <c r="U176" s="636"/>
      <c r="V176" s="636"/>
      <c r="W176" s="636"/>
      <c r="X176" s="636"/>
      <c r="Y176" s="636"/>
      <c r="Z176" s="636"/>
      <c r="AA176" s="636"/>
      <c r="AB176" s="636"/>
      <c r="AC176" s="636"/>
      <c r="AD176" s="636"/>
      <c r="AE176" s="636"/>
      <c r="AF176" s="636"/>
      <c r="AG176" s="636"/>
      <c r="AH176" s="636"/>
      <c r="AI176" s="636"/>
      <c r="AJ176" s="636"/>
      <c r="AK176" s="636"/>
      <c r="AL176" s="636"/>
      <c r="AM176" s="636"/>
      <c r="AN176" s="636"/>
      <c r="AO176" s="636"/>
      <c r="AP176" s="636"/>
      <c r="AQ176" s="636"/>
      <c r="AR176" s="636"/>
      <c r="AS176" s="636"/>
      <c r="AT176" s="636"/>
      <c r="AU176" s="636"/>
      <c r="AV176" s="636"/>
      <c r="AW176" s="636"/>
      <c r="AX176" s="636"/>
      <c r="AY176" s="636"/>
      <c r="AZ176" s="636"/>
      <c r="BA176" s="636"/>
      <c r="BB176" s="636"/>
      <c r="BC176" s="636"/>
      <c r="BD176" s="636"/>
      <c r="BE176" s="636"/>
      <c r="BF176" s="636"/>
      <c r="BG176" s="636"/>
      <c r="BH176" s="636"/>
      <c r="BI176" s="636"/>
      <c r="BJ176" s="636"/>
      <c r="BK176" s="636"/>
      <c r="BL176" s="636"/>
      <c r="BM176" s="636"/>
      <c r="BN176" s="636"/>
      <c r="BO176" s="636"/>
      <c r="BP176" s="636"/>
      <c r="BQ176" s="636"/>
      <c r="BR176" s="636"/>
      <c r="BS176" s="636"/>
      <c r="BT176" s="636"/>
      <c r="BU176" s="636"/>
      <c r="BV176" s="636"/>
      <c r="BW176" s="636"/>
      <c r="BX176" s="636"/>
      <c r="BY176" s="636"/>
      <c r="BZ176" s="636"/>
      <c r="CA176" s="636"/>
      <c r="CB176" s="636"/>
      <c r="CC176" s="636"/>
      <c r="CD176" s="636"/>
      <c r="CE176" s="636"/>
      <c r="CF176" s="636"/>
      <c r="CG176" s="636"/>
      <c r="CH176" s="636"/>
      <c r="CI176" s="636"/>
      <c r="CJ176" s="636"/>
      <c r="CK176" s="636"/>
      <c r="CL176" s="636"/>
      <c r="CM176" s="636"/>
      <c r="CN176" s="636"/>
      <c r="CO176" s="636"/>
      <c r="CP176" s="636"/>
      <c r="CQ176" s="636"/>
      <c r="CR176" s="636"/>
      <c r="CS176" s="636"/>
      <c r="CT176" s="636"/>
      <c r="CU176" s="636"/>
      <c r="CV176" s="246"/>
      <c r="CW176" s="246"/>
      <c r="CX176" s="246"/>
      <c r="CY176" s="246"/>
      <c r="CZ176" s="246"/>
      <c r="DA176" s="246"/>
    </row>
    <row r="177" spans="1:105" s="87" customFormat="1" ht="11.25" customHeight="1" x14ac:dyDescent="0.2">
      <c r="A177" s="633" t="s">
        <v>364</v>
      </c>
      <c r="B177" s="636"/>
      <c r="C177" s="636"/>
      <c r="D177" s="636"/>
      <c r="E177" s="636"/>
      <c r="F177" s="636"/>
      <c r="G177" s="636"/>
      <c r="H177" s="636"/>
      <c r="I177" s="636"/>
      <c r="J177" s="636"/>
      <c r="K177" s="636"/>
      <c r="L177" s="636"/>
      <c r="M177" s="636"/>
      <c r="N177" s="636"/>
      <c r="O177" s="636"/>
      <c r="P177" s="636"/>
      <c r="Q177" s="636"/>
      <c r="R177" s="636"/>
      <c r="S177" s="636"/>
      <c r="T177" s="636"/>
      <c r="U177" s="636"/>
      <c r="V177" s="636"/>
      <c r="W177" s="636"/>
      <c r="X177" s="636"/>
      <c r="Y177" s="636"/>
      <c r="Z177" s="636"/>
      <c r="AA177" s="636"/>
      <c r="AB177" s="636"/>
      <c r="AC177" s="636"/>
      <c r="AD177" s="636"/>
      <c r="AE177" s="636"/>
      <c r="AF177" s="636"/>
      <c r="AG177" s="636"/>
      <c r="AH177" s="636"/>
      <c r="AI177" s="636"/>
      <c r="AJ177" s="636"/>
      <c r="AK177" s="636"/>
      <c r="AL177" s="636"/>
      <c r="AM177" s="636"/>
      <c r="AN177" s="636"/>
      <c r="AO177" s="636"/>
      <c r="AP177" s="636"/>
      <c r="AQ177" s="636"/>
      <c r="AR177" s="636"/>
      <c r="AS177" s="636"/>
      <c r="AT177" s="636"/>
      <c r="AU177" s="636"/>
      <c r="AV177" s="636"/>
      <c r="AW177" s="636"/>
      <c r="AX177" s="636"/>
      <c r="AY177" s="636"/>
      <c r="AZ177" s="636"/>
      <c r="BA177" s="636"/>
      <c r="BB177" s="636"/>
      <c r="BC177" s="636"/>
      <c r="BD177" s="636"/>
      <c r="BE177" s="636"/>
      <c r="BF177" s="636"/>
      <c r="BG177" s="636"/>
      <c r="BH177" s="636"/>
      <c r="BI177" s="636"/>
      <c r="BJ177" s="636"/>
      <c r="BK177" s="636"/>
      <c r="BL177" s="636"/>
      <c r="BM177" s="636"/>
      <c r="BN177" s="636"/>
      <c r="BO177" s="636"/>
      <c r="BP177" s="636"/>
      <c r="BQ177" s="636"/>
      <c r="BR177" s="636"/>
      <c r="BS177" s="636"/>
      <c r="BT177" s="636"/>
      <c r="BU177" s="636"/>
      <c r="BV177" s="636"/>
      <c r="BW177" s="636"/>
      <c r="BX177" s="636"/>
      <c r="BY177" s="636"/>
      <c r="BZ177" s="636"/>
      <c r="CA177" s="636"/>
      <c r="CB177" s="636"/>
      <c r="CC177" s="636"/>
      <c r="CD177" s="636"/>
      <c r="CE177" s="636"/>
      <c r="CF177" s="636"/>
      <c r="CG177" s="636"/>
      <c r="CH177" s="636"/>
      <c r="CI177" s="636"/>
      <c r="CJ177" s="636"/>
      <c r="CK177" s="636"/>
      <c r="CL177" s="636"/>
      <c r="CM177" s="636"/>
      <c r="CN177" s="636"/>
      <c r="CO177" s="636"/>
      <c r="CP177" s="636"/>
      <c r="CQ177" s="636"/>
      <c r="CR177" s="636"/>
      <c r="CS177" s="636"/>
      <c r="CT177" s="636"/>
      <c r="CU177" s="636"/>
      <c r="CV177" s="246"/>
      <c r="CW177" s="246"/>
      <c r="CX177" s="246"/>
      <c r="CY177" s="246"/>
      <c r="CZ177" s="246"/>
      <c r="DA177" s="246"/>
    </row>
    <row r="178" spans="1:105" s="87" customFormat="1" ht="11.25" customHeight="1" x14ac:dyDescent="0.2">
      <c r="A178" s="636"/>
      <c r="B178" s="636"/>
      <c r="C178" s="636"/>
      <c r="D178" s="636"/>
      <c r="E178" s="636"/>
      <c r="F178" s="636"/>
      <c r="G178" s="636"/>
      <c r="H178" s="636"/>
      <c r="I178" s="636"/>
      <c r="J178" s="636"/>
      <c r="K178" s="636"/>
      <c r="L178" s="636"/>
      <c r="M178" s="636"/>
      <c r="N178" s="636"/>
      <c r="O178" s="636"/>
      <c r="P178" s="636"/>
      <c r="Q178" s="636"/>
      <c r="R178" s="636"/>
      <c r="S178" s="636"/>
      <c r="T178" s="636"/>
      <c r="U178" s="636"/>
      <c r="V178" s="636"/>
      <c r="W178" s="636"/>
      <c r="X178" s="636"/>
      <c r="Y178" s="636"/>
      <c r="Z178" s="636"/>
      <c r="AA178" s="636"/>
      <c r="AB178" s="636"/>
      <c r="AC178" s="636"/>
      <c r="AD178" s="636"/>
      <c r="AE178" s="636"/>
      <c r="AF178" s="636"/>
      <c r="AG178" s="636"/>
      <c r="AH178" s="636"/>
      <c r="AI178" s="636"/>
      <c r="AJ178" s="636"/>
      <c r="AK178" s="636"/>
      <c r="AL178" s="636"/>
      <c r="AM178" s="636"/>
      <c r="AN178" s="636"/>
      <c r="AO178" s="636"/>
      <c r="AP178" s="636"/>
      <c r="AQ178" s="636"/>
      <c r="AR178" s="636"/>
      <c r="AS178" s="636"/>
      <c r="AT178" s="636"/>
      <c r="AU178" s="636"/>
      <c r="AV178" s="636"/>
      <c r="AW178" s="636"/>
      <c r="AX178" s="636"/>
      <c r="AY178" s="636"/>
      <c r="AZ178" s="636"/>
      <c r="BA178" s="636"/>
      <c r="BB178" s="636"/>
      <c r="BC178" s="636"/>
      <c r="BD178" s="636"/>
      <c r="BE178" s="636"/>
      <c r="BF178" s="636"/>
      <c r="BG178" s="636"/>
      <c r="BH178" s="636"/>
      <c r="BI178" s="636"/>
      <c r="BJ178" s="636"/>
      <c r="BK178" s="636"/>
      <c r="BL178" s="636"/>
      <c r="BM178" s="636"/>
      <c r="BN178" s="636"/>
      <c r="BO178" s="636"/>
      <c r="BP178" s="636"/>
      <c r="BQ178" s="636"/>
      <c r="BR178" s="636"/>
      <c r="BS178" s="636"/>
      <c r="BT178" s="636"/>
      <c r="BU178" s="636"/>
      <c r="BV178" s="636"/>
      <c r="BW178" s="636"/>
      <c r="BX178" s="636"/>
      <c r="BY178" s="636"/>
      <c r="BZ178" s="636"/>
      <c r="CA178" s="636"/>
      <c r="CB178" s="636"/>
      <c r="CC178" s="636"/>
      <c r="CD178" s="636"/>
      <c r="CE178" s="636"/>
      <c r="CF178" s="636"/>
      <c r="CG178" s="636"/>
      <c r="CH178" s="636"/>
      <c r="CI178" s="636"/>
      <c r="CJ178" s="636"/>
      <c r="CK178" s="636"/>
      <c r="CL178" s="636"/>
      <c r="CM178" s="636"/>
      <c r="CN178" s="636"/>
      <c r="CO178" s="636"/>
      <c r="CP178" s="636"/>
      <c r="CQ178" s="636"/>
      <c r="CR178" s="636"/>
      <c r="CS178" s="636"/>
      <c r="CT178" s="636"/>
      <c r="CU178" s="636"/>
      <c r="CV178" s="246"/>
      <c r="CW178" s="246"/>
      <c r="CX178" s="246"/>
      <c r="CY178" s="246"/>
      <c r="CZ178" s="246"/>
      <c r="DA178" s="246"/>
    </row>
    <row r="179" spans="1:105" s="87" customFormat="1" ht="11.25" customHeight="1" x14ac:dyDescent="0.2">
      <c r="A179" s="636"/>
      <c r="B179" s="636"/>
      <c r="C179" s="636"/>
      <c r="D179" s="636"/>
      <c r="E179" s="636"/>
      <c r="F179" s="636"/>
      <c r="G179" s="636"/>
      <c r="H179" s="636"/>
      <c r="I179" s="636"/>
      <c r="J179" s="636"/>
      <c r="K179" s="636"/>
      <c r="L179" s="636"/>
      <c r="M179" s="636"/>
      <c r="N179" s="636"/>
      <c r="O179" s="636"/>
      <c r="P179" s="636"/>
      <c r="Q179" s="636"/>
      <c r="R179" s="636"/>
      <c r="S179" s="636"/>
      <c r="T179" s="636"/>
      <c r="U179" s="636"/>
      <c r="V179" s="636"/>
      <c r="W179" s="636"/>
      <c r="X179" s="636"/>
      <c r="Y179" s="636"/>
      <c r="Z179" s="636"/>
      <c r="AA179" s="636"/>
      <c r="AB179" s="636"/>
      <c r="AC179" s="636"/>
      <c r="AD179" s="636"/>
      <c r="AE179" s="636"/>
      <c r="AF179" s="636"/>
      <c r="AG179" s="636"/>
      <c r="AH179" s="636"/>
      <c r="AI179" s="636"/>
      <c r="AJ179" s="636"/>
      <c r="AK179" s="636"/>
      <c r="AL179" s="636"/>
      <c r="AM179" s="636"/>
      <c r="AN179" s="636"/>
      <c r="AO179" s="636"/>
      <c r="AP179" s="636"/>
      <c r="AQ179" s="636"/>
      <c r="AR179" s="636"/>
      <c r="AS179" s="636"/>
      <c r="AT179" s="636"/>
      <c r="AU179" s="636"/>
      <c r="AV179" s="636"/>
      <c r="AW179" s="636"/>
      <c r="AX179" s="636"/>
      <c r="AY179" s="636"/>
      <c r="AZ179" s="636"/>
      <c r="BA179" s="636"/>
      <c r="BB179" s="636"/>
      <c r="BC179" s="636"/>
      <c r="BD179" s="636"/>
      <c r="BE179" s="636"/>
      <c r="BF179" s="636"/>
      <c r="BG179" s="636"/>
      <c r="BH179" s="636"/>
      <c r="BI179" s="636"/>
      <c r="BJ179" s="636"/>
      <c r="BK179" s="636"/>
      <c r="BL179" s="636"/>
      <c r="BM179" s="636"/>
      <c r="BN179" s="636"/>
      <c r="BO179" s="636"/>
      <c r="BP179" s="636"/>
      <c r="BQ179" s="636"/>
      <c r="BR179" s="636"/>
      <c r="BS179" s="636"/>
      <c r="BT179" s="636"/>
      <c r="BU179" s="636"/>
      <c r="BV179" s="636"/>
      <c r="BW179" s="636"/>
      <c r="BX179" s="636"/>
      <c r="BY179" s="636"/>
      <c r="BZ179" s="636"/>
      <c r="CA179" s="636"/>
      <c r="CB179" s="636"/>
      <c r="CC179" s="636"/>
      <c r="CD179" s="636"/>
      <c r="CE179" s="636"/>
      <c r="CF179" s="636"/>
      <c r="CG179" s="636"/>
      <c r="CH179" s="636"/>
      <c r="CI179" s="636"/>
      <c r="CJ179" s="636"/>
      <c r="CK179" s="636"/>
      <c r="CL179" s="636"/>
      <c r="CM179" s="636"/>
      <c r="CN179" s="636"/>
      <c r="CO179" s="636"/>
      <c r="CP179" s="636"/>
      <c r="CQ179" s="636"/>
      <c r="CR179" s="636"/>
      <c r="CS179" s="636"/>
      <c r="CT179" s="636"/>
      <c r="CU179" s="636"/>
      <c r="CV179" s="246"/>
      <c r="CW179" s="246"/>
      <c r="CX179" s="246"/>
      <c r="CY179" s="246"/>
      <c r="CZ179" s="246"/>
      <c r="DA179" s="246"/>
    </row>
    <row r="180" spans="1:105" s="87" customFormat="1" ht="11.25" customHeight="1" x14ac:dyDescent="0.2">
      <c r="A180" s="633" t="s">
        <v>365</v>
      </c>
      <c r="B180" s="636"/>
      <c r="C180" s="636"/>
      <c r="D180" s="636"/>
      <c r="E180" s="636"/>
      <c r="F180" s="636"/>
      <c r="G180" s="636"/>
      <c r="H180" s="636"/>
      <c r="I180" s="636"/>
      <c r="J180" s="636"/>
      <c r="K180" s="636"/>
      <c r="L180" s="636"/>
      <c r="M180" s="636"/>
      <c r="N180" s="636"/>
      <c r="O180" s="636"/>
      <c r="P180" s="636"/>
      <c r="Q180" s="636"/>
      <c r="R180" s="636"/>
      <c r="S180" s="636"/>
      <c r="T180" s="636"/>
      <c r="U180" s="636"/>
      <c r="V180" s="636"/>
      <c r="W180" s="636"/>
      <c r="X180" s="636"/>
      <c r="Y180" s="636"/>
      <c r="Z180" s="636"/>
      <c r="AA180" s="636"/>
      <c r="AB180" s="636"/>
      <c r="AC180" s="636"/>
      <c r="AD180" s="636"/>
      <c r="AE180" s="636"/>
      <c r="AF180" s="636"/>
      <c r="AG180" s="636"/>
      <c r="AH180" s="636"/>
      <c r="AI180" s="636"/>
      <c r="AJ180" s="636"/>
      <c r="AK180" s="636"/>
      <c r="AL180" s="636"/>
      <c r="AM180" s="636"/>
      <c r="AN180" s="636"/>
      <c r="AO180" s="636"/>
      <c r="AP180" s="636"/>
      <c r="AQ180" s="636"/>
      <c r="AR180" s="636"/>
      <c r="AS180" s="636"/>
      <c r="AT180" s="636"/>
      <c r="AU180" s="636"/>
      <c r="AV180" s="636"/>
      <c r="AW180" s="636"/>
      <c r="AX180" s="636"/>
      <c r="AY180" s="636"/>
      <c r="AZ180" s="636"/>
      <c r="BA180" s="636"/>
      <c r="BB180" s="636"/>
      <c r="BC180" s="636"/>
      <c r="BD180" s="636"/>
      <c r="BE180" s="636"/>
      <c r="BF180" s="636"/>
      <c r="BG180" s="636"/>
      <c r="BH180" s="636"/>
      <c r="BI180" s="636"/>
      <c r="BJ180" s="636"/>
      <c r="BK180" s="636"/>
      <c r="BL180" s="636"/>
      <c r="BM180" s="636"/>
      <c r="BN180" s="636"/>
      <c r="BO180" s="636"/>
      <c r="BP180" s="636"/>
      <c r="BQ180" s="636"/>
      <c r="BR180" s="636"/>
      <c r="BS180" s="636"/>
      <c r="BT180" s="636"/>
      <c r="BU180" s="636"/>
      <c r="BV180" s="636"/>
      <c r="BW180" s="636"/>
      <c r="BX180" s="636"/>
      <c r="BY180" s="636"/>
      <c r="BZ180" s="636"/>
      <c r="CA180" s="636"/>
      <c r="CB180" s="636"/>
      <c r="CC180" s="636"/>
      <c r="CD180" s="636"/>
      <c r="CE180" s="636"/>
      <c r="CF180" s="636"/>
      <c r="CG180" s="636"/>
      <c r="CH180" s="636"/>
      <c r="CI180" s="636"/>
      <c r="CJ180" s="636"/>
      <c r="CK180" s="636"/>
      <c r="CL180" s="636"/>
      <c r="CM180" s="636"/>
      <c r="CN180" s="636"/>
      <c r="CO180" s="636"/>
      <c r="CP180" s="636"/>
      <c r="CQ180" s="636"/>
      <c r="CR180" s="636"/>
      <c r="CS180" s="636"/>
      <c r="CT180" s="636"/>
      <c r="CU180" s="636"/>
      <c r="CV180" s="246"/>
      <c r="CW180" s="246"/>
      <c r="CX180" s="246"/>
      <c r="CY180" s="246"/>
      <c r="CZ180" s="246"/>
      <c r="DA180" s="246"/>
    </row>
    <row r="181" spans="1:105" s="87" customFormat="1" ht="12" customHeight="1" x14ac:dyDescent="0.2">
      <c r="A181" s="636"/>
      <c r="B181" s="636"/>
      <c r="C181" s="636"/>
      <c r="D181" s="636"/>
      <c r="E181" s="636"/>
      <c r="F181" s="636"/>
      <c r="G181" s="636"/>
      <c r="H181" s="636"/>
      <c r="I181" s="636"/>
      <c r="J181" s="636"/>
      <c r="K181" s="636"/>
      <c r="L181" s="636"/>
      <c r="M181" s="636"/>
      <c r="N181" s="636"/>
      <c r="O181" s="636"/>
      <c r="P181" s="636"/>
      <c r="Q181" s="636"/>
      <c r="R181" s="636"/>
      <c r="S181" s="636"/>
      <c r="T181" s="636"/>
      <c r="U181" s="636"/>
      <c r="V181" s="636"/>
      <c r="W181" s="636"/>
      <c r="X181" s="636"/>
      <c r="Y181" s="636"/>
      <c r="Z181" s="636"/>
      <c r="AA181" s="636"/>
      <c r="AB181" s="636"/>
      <c r="AC181" s="636"/>
      <c r="AD181" s="636"/>
      <c r="AE181" s="636"/>
      <c r="AF181" s="636"/>
      <c r="AG181" s="636"/>
      <c r="AH181" s="636"/>
      <c r="AI181" s="636"/>
      <c r="AJ181" s="636"/>
      <c r="AK181" s="636"/>
      <c r="AL181" s="636"/>
      <c r="AM181" s="636"/>
      <c r="AN181" s="636"/>
      <c r="AO181" s="636"/>
      <c r="AP181" s="636"/>
      <c r="AQ181" s="636"/>
      <c r="AR181" s="636"/>
      <c r="AS181" s="636"/>
      <c r="AT181" s="636"/>
      <c r="AU181" s="636"/>
      <c r="AV181" s="636"/>
      <c r="AW181" s="636"/>
      <c r="AX181" s="636"/>
      <c r="AY181" s="636"/>
      <c r="AZ181" s="636"/>
      <c r="BA181" s="636"/>
      <c r="BB181" s="636"/>
      <c r="BC181" s="636"/>
      <c r="BD181" s="636"/>
      <c r="BE181" s="636"/>
      <c r="BF181" s="636"/>
      <c r="BG181" s="636"/>
      <c r="BH181" s="636"/>
      <c r="BI181" s="636"/>
      <c r="BJ181" s="636"/>
      <c r="BK181" s="636"/>
      <c r="BL181" s="636"/>
      <c r="BM181" s="636"/>
      <c r="BN181" s="636"/>
      <c r="BO181" s="636"/>
      <c r="BP181" s="636"/>
      <c r="BQ181" s="636"/>
      <c r="BR181" s="636"/>
      <c r="BS181" s="636"/>
      <c r="BT181" s="636"/>
      <c r="BU181" s="636"/>
      <c r="BV181" s="636"/>
      <c r="BW181" s="636"/>
      <c r="BX181" s="636"/>
      <c r="BY181" s="636"/>
      <c r="BZ181" s="636"/>
      <c r="CA181" s="636"/>
      <c r="CB181" s="636"/>
      <c r="CC181" s="636"/>
      <c r="CD181" s="636"/>
      <c r="CE181" s="636"/>
      <c r="CF181" s="636"/>
      <c r="CG181" s="636"/>
      <c r="CH181" s="636"/>
      <c r="CI181" s="636"/>
      <c r="CJ181" s="636"/>
      <c r="CK181" s="636"/>
      <c r="CL181" s="636"/>
      <c r="CM181" s="636"/>
      <c r="CN181" s="636"/>
      <c r="CO181" s="636"/>
      <c r="CP181" s="636"/>
      <c r="CQ181" s="636"/>
      <c r="CR181" s="636"/>
      <c r="CS181" s="636"/>
      <c r="CT181" s="636"/>
      <c r="CU181" s="636"/>
      <c r="CV181" s="246"/>
      <c r="CW181" s="246"/>
      <c r="CX181" s="246"/>
      <c r="CY181" s="246"/>
      <c r="CZ181" s="246"/>
      <c r="DA181" s="246"/>
    </row>
    <row r="182" spans="1:105" s="87" customFormat="1" ht="12" customHeight="1" x14ac:dyDescent="0.2">
      <c r="A182" s="245" t="s">
        <v>366</v>
      </c>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c r="CO182" s="246"/>
      <c r="CP182" s="246"/>
      <c r="CQ182" s="246"/>
      <c r="CR182" s="246"/>
      <c r="CS182" s="246"/>
      <c r="CT182" s="246"/>
      <c r="CU182" s="246"/>
      <c r="CV182" s="246"/>
      <c r="CW182" s="246"/>
      <c r="CX182" s="246"/>
      <c r="CY182" s="246"/>
      <c r="CZ182" s="246"/>
      <c r="DA182" s="246"/>
    </row>
    <row r="183" spans="1:105" s="87" customFormat="1" ht="11.25" customHeight="1" x14ac:dyDescent="0.2">
      <c r="A183" s="633" t="s">
        <v>367</v>
      </c>
      <c r="B183" s="634"/>
      <c r="C183" s="634"/>
      <c r="D183" s="634"/>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c r="AA183" s="634"/>
      <c r="AB183" s="634"/>
      <c r="AC183" s="634"/>
      <c r="AD183" s="634"/>
      <c r="AE183" s="634"/>
      <c r="AF183" s="634"/>
      <c r="AG183" s="634"/>
      <c r="AH183" s="634"/>
      <c r="AI183" s="634"/>
      <c r="AJ183" s="634"/>
      <c r="AK183" s="634"/>
      <c r="AL183" s="634"/>
      <c r="AM183" s="634"/>
      <c r="AN183" s="634"/>
      <c r="AO183" s="634"/>
      <c r="AP183" s="634"/>
      <c r="AQ183" s="634"/>
      <c r="AR183" s="634"/>
      <c r="AS183" s="634"/>
      <c r="AT183" s="634"/>
      <c r="AU183" s="634"/>
      <c r="AV183" s="634"/>
      <c r="AW183" s="634"/>
      <c r="AX183" s="634"/>
      <c r="AY183" s="634"/>
      <c r="AZ183" s="634"/>
      <c r="BA183" s="634"/>
      <c r="BB183" s="634"/>
      <c r="BC183" s="634"/>
      <c r="BD183" s="634"/>
      <c r="BE183" s="634"/>
      <c r="BF183" s="634"/>
      <c r="BG183" s="634"/>
      <c r="BH183" s="634"/>
      <c r="BI183" s="634"/>
      <c r="BJ183" s="634"/>
      <c r="BK183" s="634"/>
      <c r="BL183" s="634"/>
      <c r="BM183" s="634"/>
      <c r="BN183" s="634"/>
      <c r="BO183" s="634"/>
      <c r="BP183" s="634"/>
      <c r="BQ183" s="634"/>
      <c r="BR183" s="634"/>
      <c r="BS183" s="634"/>
      <c r="BT183" s="634"/>
      <c r="BU183" s="634"/>
      <c r="BV183" s="634"/>
      <c r="BW183" s="634"/>
      <c r="BX183" s="634"/>
      <c r="BY183" s="634"/>
      <c r="BZ183" s="634"/>
      <c r="CA183" s="634"/>
      <c r="CB183" s="634"/>
      <c r="CC183" s="634"/>
      <c r="CD183" s="634"/>
      <c r="CE183" s="634"/>
      <c r="CF183" s="634"/>
      <c r="CG183" s="634"/>
      <c r="CH183" s="634"/>
      <c r="CI183" s="634"/>
      <c r="CJ183" s="634"/>
      <c r="CK183" s="634"/>
      <c r="CL183" s="634"/>
      <c r="CM183" s="634"/>
      <c r="CN183" s="634"/>
      <c r="CO183" s="634"/>
      <c r="CP183" s="634"/>
      <c r="CQ183" s="634"/>
      <c r="CR183" s="634"/>
      <c r="CS183" s="634"/>
      <c r="CT183" s="634"/>
      <c r="CU183" s="634"/>
      <c r="CV183" s="246"/>
      <c r="CW183" s="246"/>
      <c r="CX183" s="246"/>
      <c r="CY183" s="246"/>
      <c r="CZ183" s="246"/>
      <c r="DA183" s="246"/>
    </row>
    <row r="184" spans="1:105" s="87" customFormat="1" ht="11.25" customHeight="1" x14ac:dyDescent="0.2">
      <c r="A184" s="634"/>
      <c r="B184" s="634"/>
      <c r="C184" s="634"/>
      <c r="D184" s="634"/>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634"/>
      <c r="AD184" s="634"/>
      <c r="AE184" s="634"/>
      <c r="AF184" s="634"/>
      <c r="AG184" s="634"/>
      <c r="AH184" s="634"/>
      <c r="AI184" s="634"/>
      <c r="AJ184" s="634"/>
      <c r="AK184" s="634"/>
      <c r="AL184" s="634"/>
      <c r="AM184" s="634"/>
      <c r="AN184" s="634"/>
      <c r="AO184" s="634"/>
      <c r="AP184" s="634"/>
      <c r="AQ184" s="634"/>
      <c r="AR184" s="634"/>
      <c r="AS184" s="634"/>
      <c r="AT184" s="634"/>
      <c r="AU184" s="634"/>
      <c r="AV184" s="634"/>
      <c r="AW184" s="634"/>
      <c r="AX184" s="634"/>
      <c r="AY184" s="634"/>
      <c r="AZ184" s="634"/>
      <c r="BA184" s="634"/>
      <c r="BB184" s="634"/>
      <c r="BC184" s="634"/>
      <c r="BD184" s="634"/>
      <c r="BE184" s="634"/>
      <c r="BF184" s="634"/>
      <c r="BG184" s="634"/>
      <c r="BH184" s="634"/>
      <c r="BI184" s="634"/>
      <c r="BJ184" s="634"/>
      <c r="BK184" s="634"/>
      <c r="BL184" s="634"/>
      <c r="BM184" s="634"/>
      <c r="BN184" s="634"/>
      <c r="BO184" s="634"/>
      <c r="BP184" s="634"/>
      <c r="BQ184" s="634"/>
      <c r="BR184" s="634"/>
      <c r="BS184" s="634"/>
      <c r="BT184" s="634"/>
      <c r="BU184" s="634"/>
      <c r="BV184" s="634"/>
      <c r="BW184" s="634"/>
      <c r="BX184" s="634"/>
      <c r="BY184" s="634"/>
      <c r="BZ184" s="634"/>
      <c r="CA184" s="634"/>
      <c r="CB184" s="634"/>
      <c r="CC184" s="634"/>
      <c r="CD184" s="634"/>
      <c r="CE184" s="634"/>
      <c r="CF184" s="634"/>
      <c r="CG184" s="634"/>
      <c r="CH184" s="634"/>
      <c r="CI184" s="634"/>
      <c r="CJ184" s="634"/>
      <c r="CK184" s="634"/>
      <c r="CL184" s="634"/>
      <c r="CM184" s="634"/>
      <c r="CN184" s="634"/>
      <c r="CO184" s="634"/>
      <c r="CP184" s="634"/>
      <c r="CQ184" s="634"/>
      <c r="CR184" s="634"/>
      <c r="CS184" s="634"/>
      <c r="CT184" s="634"/>
      <c r="CU184" s="634"/>
      <c r="CV184" s="246"/>
      <c r="CW184" s="246"/>
      <c r="CX184" s="246"/>
      <c r="CY184" s="246"/>
      <c r="CZ184" s="246"/>
      <c r="DA184" s="246"/>
    </row>
    <row r="185" spans="1:105" s="87" customFormat="1" ht="11.25" customHeight="1" x14ac:dyDescent="0.2">
      <c r="A185" s="634"/>
      <c r="B185" s="634"/>
      <c r="C185" s="634"/>
      <c r="D185" s="634"/>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634"/>
      <c r="AK185" s="634"/>
      <c r="AL185" s="634"/>
      <c r="AM185" s="634"/>
      <c r="AN185" s="634"/>
      <c r="AO185" s="634"/>
      <c r="AP185" s="634"/>
      <c r="AQ185" s="634"/>
      <c r="AR185" s="634"/>
      <c r="AS185" s="634"/>
      <c r="AT185" s="634"/>
      <c r="AU185" s="634"/>
      <c r="AV185" s="634"/>
      <c r="AW185" s="634"/>
      <c r="AX185" s="634"/>
      <c r="AY185" s="634"/>
      <c r="AZ185" s="634"/>
      <c r="BA185" s="634"/>
      <c r="BB185" s="634"/>
      <c r="BC185" s="634"/>
      <c r="BD185" s="634"/>
      <c r="BE185" s="634"/>
      <c r="BF185" s="634"/>
      <c r="BG185" s="634"/>
      <c r="BH185" s="634"/>
      <c r="BI185" s="634"/>
      <c r="BJ185" s="634"/>
      <c r="BK185" s="634"/>
      <c r="BL185" s="634"/>
      <c r="BM185" s="634"/>
      <c r="BN185" s="634"/>
      <c r="BO185" s="634"/>
      <c r="BP185" s="634"/>
      <c r="BQ185" s="634"/>
      <c r="BR185" s="634"/>
      <c r="BS185" s="634"/>
      <c r="BT185" s="634"/>
      <c r="BU185" s="634"/>
      <c r="BV185" s="634"/>
      <c r="BW185" s="634"/>
      <c r="BX185" s="634"/>
      <c r="BY185" s="634"/>
      <c r="BZ185" s="634"/>
      <c r="CA185" s="634"/>
      <c r="CB185" s="634"/>
      <c r="CC185" s="634"/>
      <c r="CD185" s="634"/>
      <c r="CE185" s="634"/>
      <c r="CF185" s="634"/>
      <c r="CG185" s="634"/>
      <c r="CH185" s="634"/>
      <c r="CI185" s="634"/>
      <c r="CJ185" s="634"/>
      <c r="CK185" s="634"/>
      <c r="CL185" s="634"/>
      <c r="CM185" s="634"/>
      <c r="CN185" s="634"/>
      <c r="CO185" s="634"/>
      <c r="CP185" s="634"/>
      <c r="CQ185" s="634"/>
      <c r="CR185" s="634"/>
      <c r="CS185" s="634"/>
      <c r="CT185" s="634"/>
      <c r="CU185" s="634"/>
      <c r="CV185" s="246"/>
      <c r="CW185" s="246"/>
      <c r="CX185" s="246"/>
      <c r="CY185" s="246"/>
      <c r="CZ185" s="246"/>
      <c r="DA185" s="246"/>
    </row>
  </sheetData>
  <mergeCells count="789">
    <mergeCell ref="A152:AU152"/>
    <mergeCell ref="AV152:AY152"/>
    <mergeCell ref="AZ152:BE152"/>
    <mergeCell ref="BF152:BK152"/>
    <mergeCell ref="BL152:BT152"/>
    <mergeCell ref="BU152:CC152"/>
    <mergeCell ref="CD152:CL152"/>
    <mergeCell ref="CM152:CU152"/>
    <mergeCell ref="A144:AU144"/>
    <mergeCell ref="AV144:AY144"/>
    <mergeCell ref="AZ144:BE144"/>
    <mergeCell ref="BF144:BK144"/>
    <mergeCell ref="BL144:BT144"/>
    <mergeCell ref="BU144:CC144"/>
    <mergeCell ref="CD144:CL144"/>
    <mergeCell ref="CM144:CU144"/>
    <mergeCell ref="A150:AU150"/>
    <mergeCell ref="AV150:AY151"/>
    <mergeCell ref="AZ150:BE151"/>
    <mergeCell ref="BF150:BK151"/>
    <mergeCell ref="BL150:BT151"/>
    <mergeCell ref="BU150:CC151"/>
    <mergeCell ref="CD150:CL151"/>
    <mergeCell ref="CM150:CU151"/>
    <mergeCell ref="A142:AU142"/>
    <mergeCell ref="AV142:AY143"/>
    <mergeCell ref="AZ142:BE143"/>
    <mergeCell ref="BF142:BK143"/>
    <mergeCell ref="BL142:BT143"/>
    <mergeCell ref="BU142:CC143"/>
    <mergeCell ref="CD142:CL143"/>
    <mergeCell ref="CM142:CU143"/>
    <mergeCell ref="A143:AU143"/>
    <mergeCell ref="A138:AU138"/>
    <mergeCell ref="AV138:AY138"/>
    <mergeCell ref="AZ138:BE138"/>
    <mergeCell ref="BF138:BK138"/>
    <mergeCell ref="BL138:BT138"/>
    <mergeCell ref="BU138:CC138"/>
    <mergeCell ref="CD138:CL138"/>
    <mergeCell ref="CM138:CU138"/>
    <mergeCell ref="A139:AU139"/>
    <mergeCell ref="AV139:AY139"/>
    <mergeCell ref="AZ139:BE139"/>
    <mergeCell ref="BF139:BK139"/>
    <mergeCell ref="BL139:BT139"/>
    <mergeCell ref="BU139:CC139"/>
    <mergeCell ref="CD139:CL139"/>
    <mergeCell ref="CM139:CU139"/>
    <mergeCell ref="CD115:CL115"/>
    <mergeCell ref="CM115:CU115"/>
    <mergeCell ref="A117:AU117"/>
    <mergeCell ref="AV117:AY117"/>
    <mergeCell ref="AZ117:BE117"/>
    <mergeCell ref="A115:AU115"/>
    <mergeCell ref="AV115:AY115"/>
    <mergeCell ref="AZ115:BE115"/>
    <mergeCell ref="A116:AU116"/>
    <mergeCell ref="AV116:AY116"/>
    <mergeCell ref="AZ116:BE116"/>
    <mergeCell ref="BF115:BK115"/>
    <mergeCell ref="BL115:BT115"/>
    <mergeCell ref="BU115:CC115"/>
    <mergeCell ref="A61:AU61"/>
    <mergeCell ref="AV61:AY61"/>
    <mergeCell ref="AZ61:BE61"/>
    <mergeCell ref="BF61:BK61"/>
    <mergeCell ref="BL61:BT61"/>
    <mergeCell ref="BU61:CC61"/>
    <mergeCell ref="CD61:CL61"/>
    <mergeCell ref="CM61:CU61"/>
    <mergeCell ref="A59:AU59"/>
    <mergeCell ref="AV59:AY59"/>
    <mergeCell ref="AZ59:BE59"/>
    <mergeCell ref="BF59:BK59"/>
    <mergeCell ref="BL59:BT59"/>
    <mergeCell ref="BU59:CC59"/>
    <mergeCell ref="CD59:CL59"/>
    <mergeCell ref="CM59:CU59"/>
    <mergeCell ref="A60:AU60"/>
    <mergeCell ref="AV60:AY60"/>
    <mergeCell ref="AZ60:BE60"/>
    <mergeCell ref="BF60:BK60"/>
    <mergeCell ref="BL60:BT60"/>
    <mergeCell ref="BU60:CC60"/>
    <mergeCell ref="CD60:CL60"/>
    <mergeCell ref="CM60:CU60"/>
    <mergeCell ref="AV42:AY42"/>
    <mergeCell ref="AZ42:BE42"/>
    <mergeCell ref="BF42:BK42"/>
    <mergeCell ref="BL42:BT42"/>
    <mergeCell ref="BU42:CC42"/>
    <mergeCell ref="CD42:CL42"/>
    <mergeCell ref="A35:AU35"/>
    <mergeCell ref="AV35:AY35"/>
    <mergeCell ref="AZ35:BE35"/>
    <mergeCell ref="BF35:BK35"/>
    <mergeCell ref="BL35:BT35"/>
    <mergeCell ref="BU35:CC35"/>
    <mergeCell ref="CD35:CL35"/>
    <mergeCell ref="AV39:AY40"/>
    <mergeCell ref="AZ39:BE40"/>
    <mergeCell ref="BF39:BK40"/>
    <mergeCell ref="BL39:BT40"/>
    <mergeCell ref="BU39:CC40"/>
    <mergeCell ref="CD39:CL40"/>
    <mergeCell ref="AV37:AY37"/>
    <mergeCell ref="AZ37:BE37"/>
    <mergeCell ref="BF37:BK37"/>
    <mergeCell ref="BL37:BT37"/>
    <mergeCell ref="BU37:CC37"/>
    <mergeCell ref="CM35:CU35"/>
    <mergeCell ref="A36:AU36"/>
    <mergeCell ref="AV36:AY36"/>
    <mergeCell ref="AZ36:BE36"/>
    <mergeCell ref="BF36:BK36"/>
    <mergeCell ref="BL36:BT36"/>
    <mergeCell ref="BU36:CC36"/>
    <mergeCell ref="CD36:CL36"/>
    <mergeCell ref="CM36:CU36"/>
    <mergeCell ref="A172:CU174"/>
    <mergeCell ref="A175:CU176"/>
    <mergeCell ref="A177:CU179"/>
    <mergeCell ref="A180:CU181"/>
    <mergeCell ref="A183:CU185"/>
    <mergeCell ref="A161:AU161"/>
    <mergeCell ref="AV161:AY161"/>
    <mergeCell ref="AZ161:BE161"/>
    <mergeCell ref="BF161:BK161"/>
    <mergeCell ref="BL161:BT161"/>
    <mergeCell ref="BU161:CC161"/>
    <mergeCell ref="CD161:CL161"/>
    <mergeCell ref="CM161:CU161"/>
    <mergeCell ref="A169:CU170"/>
    <mergeCell ref="A158:AU158"/>
    <mergeCell ref="AV158:AY158"/>
    <mergeCell ref="AZ158:BE158"/>
    <mergeCell ref="BF158:BK158"/>
    <mergeCell ref="BL158:BT158"/>
    <mergeCell ref="BU158:CC158"/>
    <mergeCell ref="CD158:CL158"/>
    <mergeCell ref="CM158:CU158"/>
    <mergeCell ref="A159:AU159"/>
    <mergeCell ref="AV159:AY160"/>
    <mergeCell ref="AZ159:BE160"/>
    <mergeCell ref="BF159:BK160"/>
    <mergeCell ref="BL159:BT160"/>
    <mergeCell ref="BU159:CC160"/>
    <mergeCell ref="CD159:CL160"/>
    <mergeCell ref="CM159:CU160"/>
    <mergeCell ref="A160:AU160"/>
    <mergeCell ref="A156:AU156"/>
    <mergeCell ref="AV156:AY156"/>
    <mergeCell ref="AZ156:BE156"/>
    <mergeCell ref="BF156:BK156"/>
    <mergeCell ref="BL156:BT156"/>
    <mergeCell ref="BU156:CC156"/>
    <mergeCell ref="CD156:CL156"/>
    <mergeCell ref="CM156:CU156"/>
    <mergeCell ref="A157:AU157"/>
    <mergeCell ref="AV157:AY157"/>
    <mergeCell ref="AZ157:BE157"/>
    <mergeCell ref="BF157:BK157"/>
    <mergeCell ref="BL157:BT157"/>
    <mergeCell ref="BU157:CC157"/>
    <mergeCell ref="CD157:CL157"/>
    <mergeCell ref="CM157:CU157"/>
    <mergeCell ref="A153:AU153"/>
    <mergeCell ref="AV153:AY153"/>
    <mergeCell ref="AZ153:BE153"/>
    <mergeCell ref="BF153:BK153"/>
    <mergeCell ref="BL153:BT153"/>
    <mergeCell ref="BU153:CC153"/>
    <mergeCell ref="CD153:CL153"/>
    <mergeCell ref="CM153:CU153"/>
    <mergeCell ref="A154:AU154"/>
    <mergeCell ref="AV154:AY155"/>
    <mergeCell ref="AZ154:BE155"/>
    <mergeCell ref="BF154:BK155"/>
    <mergeCell ref="BL154:BT155"/>
    <mergeCell ref="BU154:CC155"/>
    <mergeCell ref="CD154:CL155"/>
    <mergeCell ref="CM154:CU155"/>
    <mergeCell ref="A155:AU155"/>
    <mergeCell ref="A151:AU151"/>
    <mergeCell ref="A147:AU147"/>
    <mergeCell ref="AV147:AY149"/>
    <mergeCell ref="AZ147:BE149"/>
    <mergeCell ref="BF147:BK149"/>
    <mergeCell ref="BL147:BT149"/>
    <mergeCell ref="BU147:CC149"/>
    <mergeCell ref="CD147:CL149"/>
    <mergeCell ref="CM147:CU149"/>
    <mergeCell ref="A148:AU148"/>
    <mergeCell ref="A149:AU149"/>
    <mergeCell ref="A145:AU145"/>
    <mergeCell ref="AV145:AY146"/>
    <mergeCell ref="AZ145:BE146"/>
    <mergeCell ref="BF145:BK146"/>
    <mergeCell ref="BL145:BT146"/>
    <mergeCell ref="BU145:CC146"/>
    <mergeCell ref="CD145:CL146"/>
    <mergeCell ref="CM145:CU146"/>
    <mergeCell ref="A146:AU146"/>
    <mergeCell ref="A131:AU131"/>
    <mergeCell ref="AV131:AY131"/>
    <mergeCell ref="AZ131:BE131"/>
    <mergeCell ref="BF131:BK131"/>
    <mergeCell ref="BL131:BT131"/>
    <mergeCell ref="BU131:CC131"/>
    <mergeCell ref="CD131:CL131"/>
    <mergeCell ref="CM131:CU131"/>
    <mergeCell ref="A133:AU133"/>
    <mergeCell ref="AV133:AY133"/>
    <mergeCell ref="AZ133:BE133"/>
    <mergeCell ref="BF133:BK133"/>
    <mergeCell ref="BL133:BT133"/>
    <mergeCell ref="BU133:CC133"/>
    <mergeCell ref="CD133:CL133"/>
    <mergeCell ref="CM133:CU133"/>
    <mergeCell ref="A132:CU132"/>
    <mergeCell ref="A129:AU129"/>
    <mergeCell ref="AV129:AY130"/>
    <mergeCell ref="AZ129:BE130"/>
    <mergeCell ref="BF129:BK130"/>
    <mergeCell ref="BL129:BT130"/>
    <mergeCell ref="BU129:CC130"/>
    <mergeCell ref="CD129:CL130"/>
    <mergeCell ref="CM129:CU130"/>
    <mergeCell ref="A130:AU130"/>
    <mergeCell ref="A127:AU127"/>
    <mergeCell ref="AV127:AY128"/>
    <mergeCell ref="AZ127:BE128"/>
    <mergeCell ref="BF127:BK128"/>
    <mergeCell ref="BL127:BT128"/>
    <mergeCell ref="BU127:CC128"/>
    <mergeCell ref="CD127:CL128"/>
    <mergeCell ref="CM127:CU128"/>
    <mergeCell ref="A128:AU128"/>
    <mergeCell ref="A124:AU124"/>
    <mergeCell ref="AV124:AY124"/>
    <mergeCell ref="AZ124:BE124"/>
    <mergeCell ref="BF124:BK124"/>
    <mergeCell ref="BL124:BT124"/>
    <mergeCell ref="BU124:CC124"/>
    <mergeCell ref="CD124:CL124"/>
    <mergeCell ref="CM124:CU124"/>
    <mergeCell ref="A125:AU125"/>
    <mergeCell ref="AV125:AY126"/>
    <mergeCell ref="AZ125:BE126"/>
    <mergeCell ref="BF125:BK126"/>
    <mergeCell ref="BL125:BT126"/>
    <mergeCell ref="BU125:CC126"/>
    <mergeCell ref="CD125:CL126"/>
    <mergeCell ref="CM125:CU126"/>
    <mergeCell ref="A126:AU126"/>
    <mergeCell ref="A121:AU121"/>
    <mergeCell ref="AV121:AY121"/>
    <mergeCell ref="AZ121:BE121"/>
    <mergeCell ref="BF121:BK121"/>
    <mergeCell ref="BL121:BT121"/>
    <mergeCell ref="BU121:CC121"/>
    <mergeCell ref="CD121:CL121"/>
    <mergeCell ref="CM121:CU121"/>
    <mergeCell ref="A122:AU122"/>
    <mergeCell ref="AV122:AY123"/>
    <mergeCell ref="AZ122:BE123"/>
    <mergeCell ref="BF122:BK123"/>
    <mergeCell ref="BL122:BT123"/>
    <mergeCell ref="BU122:CC123"/>
    <mergeCell ref="CD122:CL123"/>
    <mergeCell ref="CM122:CU123"/>
    <mergeCell ref="A123:AU123"/>
    <mergeCell ref="A118:AU118"/>
    <mergeCell ref="AV118:AY118"/>
    <mergeCell ref="AZ118:BE118"/>
    <mergeCell ref="BF118:BK118"/>
    <mergeCell ref="BL118:BT118"/>
    <mergeCell ref="BU118:CC118"/>
    <mergeCell ref="CD118:CL118"/>
    <mergeCell ref="CM118:CU118"/>
    <mergeCell ref="A119:AU119"/>
    <mergeCell ref="AV119:AY120"/>
    <mergeCell ref="AZ119:BE120"/>
    <mergeCell ref="BF119:BK120"/>
    <mergeCell ref="BL119:BT120"/>
    <mergeCell ref="BU119:CC120"/>
    <mergeCell ref="CD119:CL120"/>
    <mergeCell ref="CM119:CU120"/>
    <mergeCell ref="A120:AU120"/>
    <mergeCell ref="A113:AU113"/>
    <mergeCell ref="AV113:AY114"/>
    <mergeCell ref="AZ113:BE114"/>
    <mergeCell ref="BF113:BK114"/>
    <mergeCell ref="BL113:BT114"/>
    <mergeCell ref="BU113:CC114"/>
    <mergeCell ref="CD113:CL114"/>
    <mergeCell ref="CM113:CU114"/>
    <mergeCell ref="A114:AU114"/>
    <mergeCell ref="A111:AU111"/>
    <mergeCell ref="AV111:AY111"/>
    <mergeCell ref="AZ111:BE111"/>
    <mergeCell ref="BF111:BK111"/>
    <mergeCell ref="BL111:BT111"/>
    <mergeCell ref="BU111:CC111"/>
    <mergeCell ref="CD111:CL111"/>
    <mergeCell ref="CM111:CU111"/>
    <mergeCell ref="A112:AU112"/>
    <mergeCell ref="AV112:AY112"/>
    <mergeCell ref="AZ112:BE112"/>
    <mergeCell ref="BF112:BK112"/>
    <mergeCell ref="BL112:BT112"/>
    <mergeCell ref="BU112:CC112"/>
    <mergeCell ref="CD112:CL112"/>
    <mergeCell ref="CM112:CU112"/>
    <mergeCell ref="A109:AU109"/>
    <mergeCell ref="AV109:AY110"/>
    <mergeCell ref="AZ109:BE110"/>
    <mergeCell ref="BF109:BK110"/>
    <mergeCell ref="BL109:BT110"/>
    <mergeCell ref="BU109:CC110"/>
    <mergeCell ref="CD109:CL110"/>
    <mergeCell ref="CM109:CU110"/>
    <mergeCell ref="A110:AU110"/>
    <mergeCell ref="A107:AU107"/>
    <mergeCell ref="AV107:AY108"/>
    <mergeCell ref="AZ107:BE108"/>
    <mergeCell ref="BF107:BK108"/>
    <mergeCell ref="BL107:BT108"/>
    <mergeCell ref="BU107:CC108"/>
    <mergeCell ref="CD107:CL108"/>
    <mergeCell ref="CM107:CU108"/>
    <mergeCell ref="A108:AU108"/>
    <mergeCell ref="AV104:AY105"/>
    <mergeCell ref="AZ104:BE105"/>
    <mergeCell ref="BF104:BK105"/>
    <mergeCell ref="BL104:BT105"/>
    <mergeCell ref="BU104:CC105"/>
    <mergeCell ref="CD104:CL105"/>
    <mergeCell ref="CM104:CU105"/>
    <mergeCell ref="A105:AU105"/>
    <mergeCell ref="A106:AU106"/>
    <mergeCell ref="AV106:AY106"/>
    <mergeCell ref="AZ106:BE106"/>
    <mergeCell ref="BF106:BK106"/>
    <mergeCell ref="BL106:BT106"/>
    <mergeCell ref="BU106:CC106"/>
    <mergeCell ref="CD106:CL106"/>
    <mergeCell ref="CM106:CU106"/>
    <mergeCell ref="A104:AU104"/>
    <mergeCell ref="AV101:AY103"/>
    <mergeCell ref="AZ101:BE103"/>
    <mergeCell ref="BF101:BK103"/>
    <mergeCell ref="BL101:BT103"/>
    <mergeCell ref="BU101:CC103"/>
    <mergeCell ref="CD101:CL103"/>
    <mergeCell ref="CM101:CU103"/>
    <mergeCell ref="A102:AU102"/>
    <mergeCell ref="A103:AU103"/>
    <mergeCell ref="A101:AU101"/>
    <mergeCell ref="A99:AU99"/>
    <mergeCell ref="AV99:AY100"/>
    <mergeCell ref="AZ99:BE100"/>
    <mergeCell ref="BF99:BK100"/>
    <mergeCell ref="BL99:BT100"/>
    <mergeCell ref="BU99:CC100"/>
    <mergeCell ref="CD99:CL100"/>
    <mergeCell ref="CM99:CU100"/>
    <mergeCell ref="A100:AU100"/>
    <mergeCell ref="AV96:AY98"/>
    <mergeCell ref="AZ96:BE98"/>
    <mergeCell ref="BF96:BK98"/>
    <mergeCell ref="BL96:BT98"/>
    <mergeCell ref="BU96:CC98"/>
    <mergeCell ref="CD96:CL98"/>
    <mergeCell ref="CM96:CU98"/>
    <mergeCell ref="A97:AU97"/>
    <mergeCell ref="A98:AU98"/>
    <mergeCell ref="A96:AU96"/>
    <mergeCell ref="AV92:AY92"/>
    <mergeCell ref="AZ92:BE92"/>
    <mergeCell ref="BF92:BK92"/>
    <mergeCell ref="BL92:BT92"/>
    <mergeCell ref="BU92:CC92"/>
    <mergeCell ref="CD92:CL92"/>
    <mergeCell ref="CM92:CU92"/>
    <mergeCell ref="A93:AU93"/>
    <mergeCell ref="AV93:AY95"/>
    <mergeCell ref="AZ93:BE95"/>
    <mergeCell ref="BF93:BK95"/>
    <mergeCell ref="BL93:BT95"/>
    <mergeCell ref="BU93:CC95"/>
    <mergeCell ref="CD93:CL95"/>
    <mergeCell ref="CM93:CU95"/>
    <mergeCell ref="A94:AU94"/>
    <mergeCell ref="A95:AU95"/>
    <mergeCell ref="A92:AU92"/>
    <mergeCell ref="AV89:AY90"/>
    <mergeCell ref="AZ89:BE90"/>
    <mergeCell ref="BF89:BK90"/>
    <mergeCell ref="BL89:BT90"/>
    <mergeCell ref="BU89:CC90"/>
    <mergeCell ref="CD89:CL90"/>
    <mergeCell ref="CM89:CU90"/>
    <mergeCell ref="A90:AU90"/>
    <mergeCell ref="A91:AU91"/>
    <mergeCell ref="AV91:AY91"/>
    <mergeCell ref="AZ91:BE91"/>
    <mergeCell ref="BF91:BK91"/>
    <mergeCell ref="BL91:BT91"/>
    <mergeCell ref="BU91:CC91"/>
    <mergeCell ref="CD91:CL91"/>
    <mergeCell ref="CM91:CU91"/>
    <mergeCell ref="A89:AU89"/>
    <mergeCell ref="AV85:AY86"/>
    <mergeCell ref="AZ85:BE86"/>
    <mergeCell ref="BF85:BK86"/>
    <mergeCell ref="BL85:BT86"/>
    <mergeCell ref="BU85:CC86"/>
    <mergeCell ref="CD85:CL86"/>
    <mergeCell ref="CM85:CU86"/>
    <mergeCell ref="A86:AU86"/>
    <mergeCell ref="A87:AU87"/>
    <mergeCell ref="AV87:AY88"/>
    <mergeCell ref="AZ87:BE88"/>
    <mergeCell ref="BF87:BK88"/>
    <mergeCell ref="BL87:BT88"/>
    <mergeCell ref="BU87:CC88"/>
    <mergeCell ref="CD87:CL88"/>
    <mergeCell ref="CM87:CU88"/>
    <mergeCell ref="A88:AU88"/>
    <mergeCell ref="A85:AU85"/>
    <mergeCell ref="AV82:AY82"/>
    <mergeCell ref="AZ82:BE82"/>
    <mergeCell ref="BF82:BK82"/>
    <mergeCell ref="BL82:BT82"/>
    <mergeCell ref="BU82:CC82"/>
    <mergeCell ref="CD82:CL82"/>
    <mergeCell ref="CM82:CU82"/>
    <mergeCell ref="A83:AU83"/>
    <mergeCell ref="AV83:AY84"/>
    <mergeCell ref="AZ83:BE84"/>
    <mergeCell ref="BF83:BK84"/>
    <mergeCell ref="BL83:BT84"/>
    <mergeCell ref="BU83:CC84"/>
    <mergeCell ref="CD83:CL84"/>
    <mergeCell ref="CM83:CU84"/>
    <mergeCell ref="A84:AU84"/>
    <mergeCell ref="A82:AU82"/>
    <mergeCell ref="AV78:AY79"/>
    <mergeCell ref="AZ78:BE79"/>
    <mergeCell ref="BF78:BK79"/>
    <mergeCell ref="BL78:BT79"/>
    <mergeCell ref="BU78:CC79"/>
    <mergeCell ref="CD78:CL79"/>
    <mergeCell ref="CM78:CU79"/>
    <mergeCell ref="A79:AU79"/>
    <mergeCell ref="A80:AU80"/>
    <mergeCell ref="AV80:AY81"/>
    <mergeCell ref="AZ80:BE81"/>
    <mergeCell ref="BF80:BK81"/>
    <mergeCell ref="BL80:BT81"/>
    <mergeCell ref="BU80:CC81"/>
    <mergeCell ref="CD80:CL81"/>
    <mergeCell ref="CM80:CU81"/>
    <mergeCell ref="A81:AU81"/>
    <mergeCell ref="A78:AU78"/>
    <mergeCell ref="AV75:AY75"/>
    <mergeCell ref="AZ75:BE75"/>
    <mergeCell ref="BF75:BK75"/>
    <mergeCell ref="BL75:BT75"/>
    <mergeCell ref="BU75:CC75"/>
    <mergeCell ref="CD75:CL75"/>
    <mergeCell ref="CM75:CU75"/>
    <mergeCell ref="A76:AU76"/>
    <mergeCell ref="AV76:AY77"/>
    <mergeCell ref="AZ76:BE77"/>
    <mergeCell ref="BF76:BK77"/>
    <mergeCell ref="BL76:BT77"/>
    <mergeCell ref="BU76:CC77"/>
    <mergeCell ref="CD76:CL77"/>
    <mergeCell ref="CM76:CU77"/>
    <mergeCell ref="A77:AU77"/>
    <mergeCell ref="A75:AU75"/>
    <mergeCell ref="AV71:AY72"/>
    <mergeCell ref="AZ71:BE72"/>
    <mergeCell ref="BF71:BK72"/>
    <mergeCell ref="BL71:BT72"/>
    <mergeCell ref="BU71:CC72"/>
    <mergeCell ref="CD71:CL72"/>
    <mergeCell ref="CM71:CU72"/>
    <mergeCell ref="A72:AU72"/>
    <mergeCell ref="A73:AU73"/>
    <mergeCell ref="AV73:AY74"/>
    <mergeCell ref="AZ73:BE74"/>
    <mergeCell ref="BF73:BK74"/>
    <mergeCell ref="BL73:BT74"/>
    <mergeCell ref="BU73:CC74"/>
    <mergeCell ref="CD73:CL74"/>
    <mergeCell ref="CM73:CU74"/>
    <mergeCell ref="A74:AU74"/>
    <mergeCell ref="A71:AU71"/>
    <mergeCell ref="AV69:AY69"/>
    <mergeCell ref="AZ69:BE69"/>
    <mergeCell ref="BF69:BK69"/>
    <mergeCell ref="BL69:BT69"/>
    <mergeCell ref="BU69:CC69"/>
    <mergeCell ref="CD69:CL69"/>
    <mergeCell ref="CM69:CU69"/>
    <mergeCell ref="A70:AU70"/>
    <mergeCell ref="AV70:AY70"/>
    <mergeCell ref="AZ70:BE70"/>
    <mergeCell ref="BF70:BK70"/>
    <mergeCell ref="BL70:BT70"/>
    <mergeCell ref="BU70:CC70"/>
    <mergeCell ref="CD70:CL70"/>
    <mergeCell ref="CM70:CU70"/>
    <mergeCell ref="A69:AU69"/>
    <mergeCell ref="A65:AU65"/>
    <mergeCell ref="AV65:AY65"/>
    <mergeCell ref="AZ65:BE65"/>
    <mergeCell ref="BF65:BK65"/>
    <mergeCell ref="BL65:BT65"/>
    <mergeCell ref="BU65:CC65"/>
    <mergeCell ref="CD65:CL65"/>
    <mergeCell ref="CM65:CU65"/>
    <mergeCell ref="A66:AU66"/>
    <mergeCell ref="AV66:AY68"/>
    <mergeCell ref="AZ66:BE68"/>
    <mergeCell ref="BF66:BK68"/>
    <mergeCell ref="BL66:BT68"/>
    <mergeCell ref="BU66:CC68"/>
    <mergeCell ref="CD66:CL68"/>
    <mergeCell ref="CM66:CU68"/>
    <mergeCell ref="A67:AU67"/>
    <mergeCell ref="A68:AU68"/>
    <mergeCell ref="A62:AU62"/>
    <mergeCell ref="AV62:AY62"/>
    <mergeCell ref="AZ62:BE62"/>
    <mergeCell ref="BF62:BK62"/>
    <mergeCell ref="BL62:BT62"/>
    <mergeCell ref="BU62:CC62"/>
    <mergeCell ref="CD62:CL62"/>
    <mergeCell ref="CM62:CU62"/>
    <mergeCell ref="A63:AU63"/>
    <mergeCell ref="AV63:AY64"/>
    <mergeCell ref="AZ63:BE64"/>
    <mergeCell ref="BF63:BK64"/>
    <mergeCell ref="BL63:BT64"/>
    <mergeCell ref="BU63:CC64"/>
    <mergeCell ref="CD63:CL64"/>
    <mergeCell ref="CM63:CU64"/>
    <mergeCell ref="A64:AU64"/>
    <mergeCell ref="A57:AU57"/>
    <mergeCell ref="AV57:AY58"/>
    <mergeCell ref="AZ57:BE58"/>
    <mergeCell ref="BF57:BK58"/>
    <mergeCell ref="BL57:BT58"/>
    <mergeCell ref="BU57:CC58"/>
    <mergeCell ref="CD57:CL58"/>
    <mergeCell ref="CM57:CU58"/>
    <mergeCell ref="A58:AU58"/>
    <mergeCell ref="A56:AU56"/>
    <mergeCell ref="AV56:AY56"/>
    <mergeCell ref="AZ56:BE56"/>
    <mergeCell ref="BF56:BK56"/>
    <mergeCell ref="BL56:BT56"/>
    <mergeCell ref="BU56:CC56"/>
    <mergeCell ref="CD56:CL56"/>
    <mergeCell ref="CM56:CU56"/>
    <mergeCell ref="A54:AU54"/>
    <mergeCell ref="AV54:AY55"/>
    <mergeCell ref="AZ54:BE55"/>
    <mergeCell ref="BF54:BK55"/>
    <mergeCell ref="BL54:BT55"/>
    <mergeCell ref="BU54:CC55"/>
    <mergeCell ref="CD54:CL55"/>
    <mergeCell ref="CM54:CU55"/>
    <mergeCell ref="A55:AU55"/>
    <mergeCell ref="A53:AU53"/>
    <mergeCell ref="AV53:AY53"/>
    <mergeCell ref="AZ53:BE53"/>
    <mergeCell ref="BF53:BK53"/>
    <mergeCell ref="BL53:BT53"/>
    <mergeCell ref="BU53:CC53"/>
    <mergeCell ref="CD53:CL53"/>
    <mergeCell ref="CM53:CU53"/>
    <mergeCell ref="AV50:AY51"/>
    <mergeCell ref="AZ50:BE51"/>
    <mergeCell ref="BF50:BK51"/>
    <mergeCell ref="BL50:BT51"/>
    <mergeCell ref="BU50:CC51"/>
    <mergeCell ref="CD50:CL51"/>
    <mergeCell ref="A51:AU51"/>
    <mergeCell ref="CM51:CU51"/>
    <mergeCell ref="A52:AU52"/>
    <mergeCell ref="AV52:AY52"/>
    <mergeCell ref="AZ52:BE52"/>
    <mergeCell ref="BF52:BK52"/>
    <mergeCell ref="BL52:BT52"/>
    <mergeCell ref="BU52:CC52"/>
    <mergeCell ref="CD52:CL52"/>
    <mergeCell ref="CM52:CU52"/>
    <mergeCell ref="A48:AU48"/>
    <mergeCell ref="AV48:AY49"/>
    <mergeCell ref="AZ48:BE49"/>
    <mergeCell ref="BF48:BK49"/>
    <mergeCell ref="BL48:BT49"/>
    <mergeCell ref="BU48:CC49"/>
    <mergeCell ref="CD48:CL49"/>
    <mergeCell ref="CM48:CU49"/>
    <mergeCell ref="A49:AU49"/>
    <mergeCell ref="A43:AU43"/>
    <mergeCell ref="AV43:AY43"/>
    <mergeCell ref="AZ43:BE43"/>
    <mergeCell ref="BF43:BK43"/>
    <mergeCell ref="BL43:BT43"/>
    <mergeCell ref="BU43:CC43"/>
    <mergeCell ref="CD43:CL43"/>
    <mergeCell ref="CM43:CU43"/>
    <mergeCell ref="A44:AU44"/>
    <mergeCell ref="AV44:AY47"/>
    <mergeCell ref="AZ44:BE47"/>
    <mergeCell ref="BF44:BK47"/>
    <mergeCell ref="BL44:BT47"/>
    <mergeCell ref="BU44:CC47"/>
    <mergeCell ref="CD44:CL47"/>
    <mergeCell ref="CM44:CU47"/>
    <mergeCell ref="A45:AU45"/>
    <mergeCell ref="A46:AU46"/>
    <mergeCell ref="A47:AU47"/>
    <mergeCell ref="CM39:CU40"/>
    <mergeCell ref="A40:AU40"/>
    <mergeCell ref="A41:AU41"/>
    <mergeCell ref="AV41:AY41"/>
    <mergeCell ref="AZ41:BE41"/>
    <mergeCell ref="BF41:BK41"/>
    <mergeCell ref="BL41:BT41"/>
    <mergeCell ref="BU41:CC41"/>
    <mergeCell ref="CD41:CL41"/>
    <mergeCell ref="CM41:CU41"/>
    <mergeCell ref="A39:AU39"/>
    <mergeCell ref="CD37:CL37"/>
    <mergeCell ref="CM37:CU37"/>
    <mergeCell ref="A38:AU38"/>
    <mergeCell ref="AV38:AY38"/>
    <mergeCell ref="AZ38:BE38"/>
    <mergeCell ref="BF38:BK38"/>
    <mergeCell ref="BL38:BT38"/>
    <mergeCell ref="BU38:CC38"/>
    <mergeCell ref="CD38:CL38"/>
    <mergeCell ref="CM38:CU38"/>
    <mergeCell ref="A37:AU37"/>
    <mergeCell ref="A34:AU34"/>
    <mergeCell ref="AV34:AY34"/>
    <mergeCell ref="AZ34:BE34"/>
    <mergeCell ref="BF34:BK34"/>
    <mergeCell ref="BL34:BT34"/>
    <mergeCell ref="BU34:CC34"/>
    <mergeCell ref="CD34:CL34"/>
    <mergeCell ref="CM34:CU34"/>
    <mergeCell ref="A33:AU33"/>
    <mergeCell ref="AV32:AY32"/>
    <mergeCell ref="AZ32:BE32"/>
    <mergeCell ref="BF32:BK32"/>
    <mergeCell ref="BL32:BT32"/>
    <mergeCell ref="BU32:CC32"/>
    <mergeCell ref="CD32:CL32"/>
    <mergeCell ref="CM32:CU32"/>
    <mergeCell ref="AV33:AY33"/>
    <mergeCell ref="AZ33:BE33"/>
    <mergeCell ref="BF33:BK33"/>
    <mergeCell ref="BL33:BT33"/>
    <mergeCell ref="BU33:CC33"/>
    <mergeCell ref="CD33:CL33"/>
    <mergeCell ref="CM33:CU33"/>
    <mergeCell ref="CD28:CL28"/>
    <mergeCell ref="CM28:CU28"/>
    <mergeCell ref="AV31:AY31"/>
    <mergeCell ref="AZ31:BE31"/>
    <mergeCell ref="BF31:BK31"/>
    <mergeCell ref="BL31:BT31"/>
    <mergeCell ref="BU31:CC31"/>
    <mergeCell ref="CD31:CL31"/>
    <mergeCell ref="CM31:CU31"/>
    <mergeCell ref="CH13:CU13"/>
    <mergeCell ref="U14:BS14"/>
    <mergeCell ref="CH14:CU14"/>
    <mergeCell ref="CH15:CU15"/>
    <mergeCell ref="CH16:CU16"/>
    <mergeCell ref="CH17:CU17"/>
    <mergeCell ref="CH18:CU18"/>
    <mergeCell ref="A25:CU25"/>
    <mergeCell ref="I17:CB17"/>
    <mergeCell ref="A17:H17"/>
    <mergeCell ref="A27:AU32"/>
    <mergeCell ref="AV29:AY29"/>
    <mergeCell ref="AZ29:BE29"/>
    <mergeCell ref="BF29:BK29"/>
    <mergeCell ref="BL29:BT29"/>
    <mergeCell ref="BU29:CC29"/>
    <mergeCell ref="CD29:CL29"/>
    <mergeCell ref="CM29:CU29"/>
    <mergeCell ref="AV30:AY30"/>
    <mergeCell ref="AZ30:BE30"/>
    <mergeCell ref="BF30:BK30"/>
    <mergeCell ref="BL30:BT30"/>
    <mergeCell ref="BU30:CC30"/>
    <mergeCell ref="CD30:CL30"/>
    <mergeCell ref="CM30:CU30"/>
    <mergeCell ref="AV27:AY27"/>
    <mergeCell ref="AZ27:BE27"/>
    <mergeCell ref="BF27:BK27"/>
    <mergeCell ref="BL27:CU27"/>
    <mergeCell ref="AV28:AY28"/>
    <mergeCell ref="AZ28:BE28"/>
    <mergeCell ref="BF28:BK28"/>
    <mergeCell ref="BL28:BT28"/>
    <mergeCell ref="BU28:CC28"/>
    <mergeCell ref="BO9:BQ9"/>
    <mergeCell ref="AJ10:AL10"/>
    <mergeCell ref="BE10:BG10"/>
    <mergeCell ref="BK10:BM10"/>
    <mergeCell ref="CH10:CU11"/>
    <mergeCell ref="AN12:AP12"/>
    <mergeCell ref="AS12:BC12"/>
    <mergeCell ref="BD12:BE12"/>
    <mergeCell ref="BF12:BH12"/>
    <mergeCell ref="CH12:CU12"/>
    <mergeCell ref="BI12:BK12"/>
    <mergeCell ref="BQ2:CU2"/>
    <mergeCell ref="BQ3:CU3"/>
    <mergeCell ref="BQ4:CU4"/>
    <mergeCell ref="BQ5:CA5"/>
    <mergeCell ref="CC5:CU5"/>
    <mergeCell ref="BQ6:CA6"/>
    <mergeCell ref="CC6:CU6"/>
    <mergeCell ref="BR7:BT7"/>
    <mergeCell ref="BW7:CG7"/>
    <mergeCell ref="CH7:CI7"/>
    <mergeCell ref="CJ7:CL7"/>
    <mergeCell ref="CD134:CL134"/>
    <mergeCell ref="CM134:CU134"/>
    <mergeCell ref="A135:AU135"/>
    <mergeCell ref="AV135:AY135"/>
    <mergeCell ref="AZ135:BE135"/>
    <mergeCell ref="BF135:BK135"/>
    <mergeCell ref="BL135:BT135"/>
    <mergeCell ref="BU135:CC135"/>
    <mergeCell ref="CD135:CL135"/>
    <mergeCell ref="CM135:CU135"/>
    <mergeCell ref="A134:AU134"/>
    <mergeCell ref="AV134:AY134"/>
    <mergeCell ref="AZ134:BE134"/>
    <mergeCell ref="BF134:BK134"/>
    <mergeCell ref="BL134:BT134"/>
    <mergeCell ref="BU134:CC134"/>
    <mergeCell ref="A136:AU136"/>
    <mergeCell ref="AV136:AY136"/>
    <mergeCell ref="AZ136:BE136"/>
    <mergeCell ref="BF136:BK136"/>
    <mergeCell ref="BL136:BT136"/>
    <mergeCell ref="BU136:CC136"/>
    <mergeCell ref="CD136:CL136"/>
    <mergeCell ref="CM136:CU136"/>
    <mergeCell ref="A137:AU137"/>
    <mergeCell ref="AV137:AY137"/>
    <mergeCell ref="AZ137:BE137"/>
    <mergeCell ref="BF137:BK137"/>
    <mergeCell ref="BL137:BT137"/>
    <mergeCell ref="BU137:CC137"/>
    <mergeCell ref="CD137:CL137"/>
    <mergeCell ref="CM137:CU137"/>
    <mergeCell ref="A140:AU140"/>
    <mergeCell ref="AV140:AY140"/>
    <mergeCell ref="AZ140:BE140"/>
    <mergeCell ref="BF140:BK140"/>
    <mergeCell ref="BL140:BT140"/>
    <mergeCell ref="BU140:CC140"/>
    <mergeCell ref="CD140:CL140"/>
    <mergeCell ref="CM140:CU140"/>
    <mergeCell ref="A141:AU141"/>
    <mergeCell ref="AV141:AY141"/>
    <mergeCell ref="AZ141:BE141"/>
    <mergeCell ref="BF141:BK141"/>
    <mergeCell ref="BL141:BT141"/>
    <mergeCell ref="BU141:CC141"/>
    <mergeCell ref="CD141:CL141"/>
    <mergeCell ref="CM141:CU141"/>
  </mergeCells>
  <phoneticPr fontId="0" type="noConversion"/>
  <pageMargins left="0.59055118110236227" right="0" top="0.55118110236220474" bottom="0" header="0.15748031496062992" footer="0.15748031496062992"/>
  <pageSetup paperSize="9" scale="47" orientation="portrait" horizontalDpi="4294967295" verticalDpi="4294967295" r:id="rId1"/>
  <rowBreaks count="1" manualBreakCount="1">
    <brk id="105" max="9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Q91"/>
  <sheetViews>
    <sheetView topLeftCell="A7" zoomScale="80" zoomScaleNormal="80" workbookViewId="0">
      <selection activeCell="CF31" sqref="CF31:CM33"/>
    </sheetView>
  </sheetViews>
  <sheetFormatPr defaultColWidth="1.42578125" defaultRowHeight="12.75" x14ac:dyDescent="0.2"/>
  <cols>
    <col min="1" max="3" width="1.42578125" style="202"/>
    <col min="4" max="4" width="1.140625" style="202" customWidth="1"/>
    <col min="5" max="5" width="1.85546875" style="202" customWidth="1"/>
    <col min="6" max="19" width="1.42578125" style="202"/>
    <col min="20" max="20" width="2.7109375" style="202" customWidth="1"/>
    <col min="21" max="51" width="1.42578125" style="202"/>
    <col min="52" max="52" width="4.140625" style="202" customWidth="1"/>
    <col min="53" max="54" width="1.42578125" style="202"/>
    <col min="55" max="55" width="9.85546875" style="202" customWidth="1"/>
    <col min="56" max="87" width="1.42578125" style="202"/>
    <col min="88" max="88" width="1.42578125" style="202" customWidth="1"/>
    <col min="89" max="89" width="2.140625" style="202" customWidth="1"/>
    <col min="90" max="90" width="1.42578125" style="202"/>
    <col min="91" max="91" width="3.7109375" style="202" customWidth="1"/>
    <col min="92" max="98" width="1.42578125" style="202"/>
    <col min="99" max="99" width="5" style="202" customWidth="1"/>
    <col min="100" max="102" width="1.42578125" style="202"/>
    <col min="103" max="103" width="6.42578125" style="202" customWidth="1"/>
    <col min="104" max="106" width="1.42578125" style="202"/>
    <col min="107" max="107" width="5" style="202" customWidth="1"/>
    <col min="108" max="113" width="1.42578125" style="202"/>
    <col min="114" max="114" width="2.85546875" style="202" customWidth="1"/>
    <col min="115" max="115" width="1.42578125" style="202"/>
    <col min="116" max="116" width="8.7109375" style="82" bestFit="1" customWidth="1"/>
    <col min="117" max="343" width="1.42578125" style="82"/>
    <col min="344" max="344" width="1.42578125" style="82" customWidth="1"/>
    <col min="345" max="599" width="1.42578125" style="82"/>
    <col min="600" max="600" width="1.42578125" style="82" customWidth="1"/>
    <col min="601" max="855" width="1.42578125" style="82"/>
    <col min="856" max="856" width="1.42578125" style="82" customWidth="1"/>
    <col min="857" max="1111" width="1.42578125" style="82"/>
    <col min="1112" max="1112" width="1.42578125" style="82" customWidth="1"/>
    <col min="1113" max="1367" width="1.42578125" style="82"/>
    <col min="1368" max="1368" width="1.42578125" style="82" customWidth="1"/>
    <col min="1369" max="1623" width="1.42578125" style="82"/>
    <col min="1624" max="1624" width="1.42578125" style="82" customWidth="1"/>
    <col min="1625" max="1879" width="1.42578125" style="82"/>
    <col min="1880" max="1880" width="1.42578125" style="82" customWidth="1"/>
    <col min="1881" max="2135" width="1.42578125" style="82"/>
    <col min="2136" max="2136" width="1.42578125" style="82" customWidth="1"/>
    <col min="2137" max="2391" width="1.42578125" style="82"/>
    <col min="2392" max="2392" width="1.42578125" style="82" customWidth="1"/>
    <col min="2393" max="2647" width="1.42578125" style="82"/>
    <col min="2648" max="2648" width="1.42578125" style="82" customWidth="1"/>
    <col min="2649" max="2903" width="1.42578125" style="82"/>
    <col min="2904" max="2904" width="1.42578125" style="82" customWidth="1"/>
    <col min="2905" max="3159" width="1.42578125" style="82"/>
    <col min="3160" max="3160" width="1.42578125" style="82" customWidth="1"/>
    <col min="3161" max="3415" width="1.42578125" style="82"/>
    <col min="3416" max="3416" width="1.42578125" style="82" customWidth="1"/>
    <col min="3417" max="3671" width="1.42578125" style="82"/>
    <col min="3672" max="3672" width="1.42578125" style="82" customWidth="1"/>
    <col min="3673" max="3927" width="1.42578125" style="82"/>
    <col min="3928" max="3928" width="1.42578125" style="82" customWidth="1"/>
    <col min="3929" max="4183" width="1.42578125" style="82"/>
    <col min="4184" max="4184" width="1.42578125" style="82" customWidth="1"/>
    <col min="4185" max="4439" width="1.42578125" style="82"/>
    <col min="4440" max="4440" width="1.42578125" style="82" customWidth="1"/>
    <col min="4441" max="4695" width="1.42578125" style="82"/>
    <col min="4696" max="4696" width="1.42578125" style="82" customWidth="1"/>
    <col min="4697" max="4951" width="1.42578125" style="82"/>
    <col min="4952" max="4952" width="1.42578125" style="82" customWidth="1"/>
    <col min="4953" max="5207" width="1.42578125" style="82"/>
    <col min="5208" max="5208" width="1.42578125" style="82" customWidth="1"/>
    <col min="5209" max="5463" width="1.42578125" style="82"/>
    <col min="5464" max="5464" width="1.42578125" style="82" customWidth="1"/>
    <col min="5465" max="5719" width="1.42578125" style="82"/>
    <col min="5720" max="5720" width="1.42578125" style="82" customWidth="1"/>
    <col min="5721" max="5975" width="1.42578125" style="82"/>
    <col min="5976" max="5976" width="1.42578125" style="82" customWidth="1"/>
    <col min="5977" max="6231" width="1.42578125" style="82"/>
    <col min="6232" max="6232" width="1.42578125" style="82" customWidth="1"/>
    <col min="6233" max="6487" width="1.42578125" style="82"/>
    <col min="6488" max="6488" width="1.42578125" style="82" customWidth="1"/>
    <col min="6489" max="6743" width="1.42578125" style="82"/>
    <col min="6744" max="6744" width="1.42578125" style="82" customWidth="1"/>
    <col min="6745" max="6999" width="1.42578125" style="82"/>
    <col min="7000" max="7000" width="1.42578125" style="82" customWidth="1"/>
    <col min="7001" max="7255" width="1.42578125" style="82"/>
    <col min="7256" max="7256" width="1.42578125" style="82" customWidth="1"/>
    <col min="7257" max="7511" width="1.42578125" style="82"/>
    <col min="7512" max="7512" width="1.42578125" style="82" customWidth="1"/>
    <col min="7513" max="7767" width="1.42578125" style="82"/>
    <col min="7768" max="7768" width="1.42578125" style="82" customWidth="1"/>
    <col min="7769" max="8023" width="1.42578125" style="82"/>
    <col min="8024" max="8024" width="1.42578125" style="82" customWidth="1"/>
    <col min="8025" max="8279" width="1.42578125" style="82"/>
    <col min="8280" max="8280" width="1.42578125" style="82" customWidth="1"/>
    <col min="8281" max="8535" width="1.42578125" style="82"/>
    <col min="8536" max="8536" width="1.42578125" style="82" customWidth="1"/>
    <col min="8537" max="8791" width="1.42578125" style="82"/>
    <col min="8792" max="8792" width="1.42578125" style="82" customWidth="1"/>
    <col min="8793" max="9047" width="1.42578125" style="82"/>
    <col min="9048" max="9048" width="1.42578125" style="82" customWidth="1"/>
    <col min="9049" max="9303" width="1.42578125" style="82"/>
    <col min="9304" max="9304" width="1.42578125" style="82" customWidth="1"/>
    <col min="9305" max="9559" width="1.42578125" style="82"/>
    <col min="9560" max="9560" width="1.42578125" style="82" customWidth="1"/>
    <col min="9561" max="9815" width="1.42578125" style="82"/>
    <col min="9816" max="9816" width="1.42578125" style="82" customWidth="1"/>
    <col min="9817" max="10071" width="1.42578125" style="82"/>
    <col min="10072" max="10072" width="1.42578125" style="82" customWidth="1"/>
    <col min="10073" max="10327" width="1.42578125" style="82"/>
    <col min="10328" max="10328" width="1.42578125" style="82" customWidth="1"/>
    <col min="10329" max="10583" width="1.42578125" style="82"/>
    <col min="10584" max="10584" width="1.42578125" style="82" customWidth="1"/>
    <col min="10585" max="10839" width="1.42578125" style="82"/>
    <col min="10840" max="10840" width="1.42578125" style="82" customWidth="1"/>
    <col min="10841" max="11095" width="1.42578125" style="82"/>
    <col min="11096" max="11096" width="1.42578125" style="82" customWidth="1"/>
    <col min="11097" max="11351" width="1.42578125" style="82"/>
    <col min="11352" max="11352" width="1.42578125" style="82" customWidth="1"/>
    <col min="11353" max="11607" width="1.42578125" style="82"/>
    <col min="11608" max="11608" width="1.42578125" style="82" customWidth="1"/>
    <col min="11609" max="11863" width="1.42578125" style="82"/>
    <col min="11864" max="11864" width="1.42578125" style="82" customWidth="1"/>
    <col min="11865" max="12119" width="1.42578125" style="82"/>
    <col min="12120" max="12120" width="1.42578125" style="82" customWidth="1"/>
    <col min="12121" max="12375" width="1.42578125" style="82"/>
    <col min="12376" max="12376" width="1.42578125" style="82" customWidth="1"/>
    <col min="12377" max="12631" width="1.42578125" style="82"/>
    <col min="12632" max="12632" width="1.42578125" style="82" customWidth="1"/>
    <col min="12633" max="12887" width="1.42578125" style="82"/>
    <col min="12888" max="12888" width="1.42578125" style="82" customWidth="1"/>
    <col min="12889" max="13143" width="1.42578125" style="82"/>
    <col min="13144" max="13144" width="1.42578125" style="82" customWidth="1"/>
    <col min="13145" max="13399" width="1.42578125" style="82"/>
    <col min="13400" max="13400" width="1.42578125" style="82" customWidth="1"/>
    <col min="13401" max="13655" width="1.42578125" style="82"/>
    <col min="13656" max="13656" width="1.42578125" style="82" customWidth="1"/>
    <col min="13657" max="13911" width="1.42578125" style="82"/>
    <col min="13912" max="13912" width="1.42578125" style="82" customWidth="1"/>
    <col min="13913" max="14167" width="1.42578125" style="82"/>
    <col min="14168" max="14168" width="1.42578125" style="82" customWidth="1"/>
    <col min="14169" max="14423" width="1.42578125" style="82"/>
    <col min="14424" max="14424" width="1.42578125" style="82" customWidth="1"/>
    <col min="14425" max="14679" width="1.42578125" style="82"/>
    <col min="14680" max="14680" width="1.42578125" style="82" customWidth="1"/>
    <col min="14681" max="14935" width="1.42578125" style="82"/>
    <col min="14936" max="14936" width="1.42578125" style="82" customWidth="1"/>
    <col min="14937" max="15191" width="1.42578125" style="82"/>
    <col min="15192" max="15192" width="1.42578125" style="82" customWidth="1"/>
    <col min="15193" max="15447" width="1.42578125" style="82"/>
    <col min="15448" max="15448" width="1.42578125" style="82" customWidth="1"/>
    <col min="15449" max="15703" width="1.42578125" style="82"/>
    <col min="15704" max="15704" width="1.42578125" style="82" customWidth="1"/>
    <col min="15705" max="15959" width="1.42578125" style="82"/>
    <col min="15960" max="15960" width="1.42578125" style="82" customWidth="1"/>
    <col min="15961" max="16215" width="1.42578125" style="82"/>
    <col min="16216" max="16216" width="1.42578125" style="82" customWidth="1"/>
    <col min="16217" max="16384" width="1.42578125" style="82"/>
  </cols>
  <sheetData>
    <row r="1" spans="1:117" ht="19.5" customHeight="1" x14ac:dyDescent="0.3">
      <c r="A1" s="682" t="s">
        <v>620</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c r="CC1" s="682"/>
      <c r="CD1" s="682"/>
      <c r="CE1" s="682"/>
      <c r="CF1" s="682"/>
      <c r="CG1" s="682"/>
      <c r="CH1" s="682"/>
      <c r="CI1" s="682"/>
      <c r="CJ1" s="682"/>
      <c r="CK1" s="682"/>
      <c r="CL1" s="682"/>
      <c r="CM1" s="682"/>
      <c r="CN1" s="682"/>
      <c r="CO1" s="682"/>
      <c r="CP1" s="682"/>
      <c r="CQ1" s="682"/>
      <c r="CR1" s="682"/>
      <c r="CS1" s="682"/>
      <c r="CT1" s="682"/>
      <c r="CU1" s="682"/>
      <c r="CV1" s="682"/>
      <c r="CW1" s="682"/>
      <c r="CX1" s="682"/>
      <c r="CY1" s="682"/>
      <c r="CZ1" s="682"/>
      <c r="DA1" s="682"/>
      <c r="DB1" s="682"/>
      <c r="DC1" s="682"/>
      <c r="DD1" s="682"/>
      <c r="DE1" s="682"/>
      <c r="DF1" s="682"/>
      <c r="DG1" s="682"/>
      <c r="DH1" s="682"/>
      <c r="DI1" s="682"/>
      <c r="DJ1" s="682"/>
      <c r="DK1" s="682"/>
    </row>
    <row r="2" spans="1:117" ht="13.5" thickBot="1" x14ac:dyDescent="0.25"/>
    <row r="3" spans="1:117" s="85" customFormat="1" ht="14.25" customHeight="1" x14ac:dyDescent="0.2">
      <c r="A3" s="702" t="s">
        <v>381</v>
      </c>
      <c r="B3" s="684"/>
      <c r="C3" s="684"/>
      <c r="D3" s="684"/>
      <c r="E3" s="685"/>
      <c r="F3" s="676" t="s">
        <v>10</v>
      </c>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677"/>
      <c r="BD3" s="683" t="s">
        <v>382</v>
      </c>
      <c r="BE3" s="684"/>
      <c r="BF3" s="684"/>
      <c r="BG3" s="684"/>
      <c r="BH3" s="684"/>
      <c r="BI3" s="685"/>
      <c r="BJ3" s="683" t="s">
        <v>383</v>
      </c>
      <c r="BK3" s="684"/>
      <c r="BL3" s="684"/>
      <c r="BM3" s="684"/>
      <c r="BN3" s="684"/>
      <c r="BO3" s="685"/>
      <c r="BP3" s="710" t="s">
        <v>610</v>
      </c>
      <c r="BQ3" s="711"/>
      <c r="BR3" s="711"/>
      <c r="BS3" s="711"/>
      <c r="BT3" s="711"/>
      <c r="BU3" s="711"/>
      <c r="BV3" s="711"/>
      <c r="BW3" s="712"/>
      <c r="BX3" s="710" t="s">
        <v>611</v>
      </c>
      <c r="BY3" s="711"/>
      <c r="BZ3" s="711"/>
      <c r="CA3" s="711"/>
      <c r="CB3" s="711"/>
      <c r="CC3" s="711"/>
      <c r="CD3" s="711"/>
      <c r="CE3" s="712"/>
      <c r="CF3" s="686" t="s">
        <v>191</v>
      </c>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8"/>
    </row>
    <row r="4" spans="1:117" s="85" customFormat="1" ht="12.75" customHeight="1" x14ac:dyDescent="0.2">
      <c r="A4" s="703"/>
      <c r="B4" s="699"/>
      <c r="C4" s="699"/>
      <c r="D4" s="699"/>
      <c r="E4" s="701"/>
      <c r="F4" s="678"/>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679"/>
      <c r="BD4" s="698" t="s">
        <v>384</v>
      </c>
      <c r="BE4" s="699"/>
      <c r="BF4" s="699"/>
      <c r="BG4" s="699"/>
      <c r="BH4" s="699"/>
      <c r="BI4" s="701"/>
      <c r="BJ4" s="698" t="s">
        <v>385</v>
      </c>
      <c r="BK4" s="699"/>
      <c r="BL4" s="699"/>
      <c r="BM4" s="699"/>
      <c r="BN4" s="699"/>
      <c r="BO4" s="701"/>
      <c r="BP4" s="713"/>
      <c r="BQ4" s="714"/>
      <c r="BR4" s="714"/>
      <c r="BS4" s="714"/>
      <c r="BT4" s="714"/>
      <c r="BU4" s="714"/>
      <c r="BV4" s="714"/>
      <c r="BW4" s="715"/>
      <c r="BX4" s="713"/>
      <c r="BY4" s="714"/>
      <c r="BZ4" s="714"/>
      <c r="CA4" s="714"/>
      <c r="CB4" s="714"/>
      <c r="CC4" s="714"/>
      <c r="CD4" s="714"/>
      <c r="CE4" s="715"/>
      <c r="CF4" s="707" t="s">
        <v>635</v>
      </c>
      <c r="CG4" s="708"/>
      <c r="CH4" s="708"/>
      <c r="CI4" s="708"/>
      <c r="CJ4" s="708"/>
      <c r="CK4" s="708"/>
      <c r="CL4" s="708"/>
      <c r="CM4" s="709"/>
      <c r="CN4" s="707" t="s">
        <v>677</v>
      </c>
      <c r="CO4" s="708"/>
      <c r="CP4" s="708"/>
      <c r="CQ4" s="708"/>
      <c r="CR4" s="708"/>
      <c r="CS4" s="708"/>
      <c r="CT4" s="708"/>
      <c r="CU4" s="709"/>
      <c r="CV4" s="707" t="s">
        <v>695</v>
      </c>
      <c r="CW4" s="708"/>
      <c r="CX4" s="708"/>
      <c r="CY4" s="708"/>
      <c r="CZ4" s="708"/>
      <c r="DA4" s="708"/>
      <c r="DB4" s="708"/>
      <c r="DC4" s="709"/>
      <c r="DD4" s="698" t="s">
        <v>195</v>
      </c>
      <c r="DE4" s="699"/>
      <c r="DF4" s="699"/>
      <c r="DG4" s="699"/>
      <c r="DH4" s="699"/>
      <c r="DI4" s="699"/>
      <c r="DJ4" s="699"/>
      <c r="DK4" s="700"/>
    </row>
    <row r="5" spans="1:117" s="85" customFormat="1" ht="12" customHeight="1" x14ac:dyDescent="0.2">
      <c r="A5" s="703"/>
      <c r="B5" s="699"/>
      <c r="C5" s="699"/>
      <c r="D5" s="699"/>
      <c r="E5" s="701"/>
      <c r="F5" s="678"/>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679"/>
      <c r="BD5" s="698"/>
      <c r="BE5" s="699"/>
      <c r="BF5" s="699"/>
      <c r="BG5" s="699"/>
      <c r="BH5" s="699"/>
      <c r="BI5" s="701"/>
      <c r="BJ5" s="698" t="s">
        <v>386</v>
      </c>
      <c r="BK5" s="699"/>
      <c r="BL5" s="699"/>
      <c r="BM5" s="699"/>
      <c r="BN5" s="699"/>
      <c r="BO5" s="701"/>
      <c r="BP5" s="713"/>
      <c r="BQ5" s="714"/>
      <c r="BR5" s="714"/>
      <c r="BS5" s="714"/>
      <c r="BT5" s="714"/>
      <c r="BU5" s="714"/>
      <c r="BV5" s="714"/>
      <c r="BW5" s="715"/>
      <c r="BX5" s="713"/>
      <c r="BY5" s="714"/>
      <c r="BZ5" s="714"/>
      <c r="CA5" s="714"/>
      <c r="CB5" s="714"/>
      <c r="CC5" s="714"/>
      <c r="CD5" s="714"/>
      <c r="CE5" s="715"/>
      <c r="CF5" s="698" t="s">
        <v>387</v>
      </c>
      <c r="CG5" s="699"/>
      <c r="CH5" s="699"/>
      <c r="CI5" s="699"/>
      <c r="CJ5" s="699"/>
      <c r="CK5" s="699"/>
      <c r="CL5" s="699"/>
      <c r="CM5" s="701"/>
      <c r="CN5" s="698" t="s">
        <v>388</v>
      </c>
      <c r="CO5" s="699"/>
      <c r="CP5" s="699"/>
      <c r="CQ5" s="699"/>
      <c r="CR5" s="699"/>
      <c r="CS5" s="699"/>
      <c r="CT5" s="699"/>
      <c r="CU5" s="701"/>
      <c r="CV5" s="698" t="s">
        <v>389</v>
      </c>
      <c r="CW5" s="699"/>
      <c r="CX5" s="699"/>
      <c r="CY5" s="699"/>
      <c r="CZ5" s="699"/>
      <c r="DA5" s="699"/>
      <c r="DB5" s="699"/>
      <c r="DC5" s="701"/>
      <c r="DD5" s="698" t="s">
        <v>201</v>
      </c>
      <c r="DE5" s="699"/>
      <c r="DF5" s="699"/>
      <c r="DG5" s="699"/>
      <c r="DH5" s="699"/>
      <c r="DI5" s="699"/>
      <c r="DJ5" s="699"/>
      <c r="DK5" s="700"/>
    </row>
    <row r="6" spans="1:117" s="85" customFormat="1" ht="12" customHeight="1" x14ac:dyDescent="0.2">
      <c r="A6" s="703"/>
      <c r="B6" s="699"/>
      <c r="C6" s="699"/>
      <c r="D6" s="699"/>
      <c r="E6" s="701"/>
      <c r="F6" s="678"/>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679"/>
      <c r="BD6" s="698"/>
      <c r="BE6" s="699"/>
      <c r="BF6" s="699"/>
      <c r="BG6" s="699"/>
      <c r="BH6" s="699"/>
      <c r="BI6" s="701"/>
      <c r="BJ6" s="698"/>
      <c r="BK6" s="699"/>
      <c r="BL6" s="699"/>
      <c r="BM6" s="699"/>
      <c r="BN6" s="699"/>
      <c r="BO6" s="701"/>
      <c r="BP6" s="713"/>
      <c r="BQ6" s="714"/>
      <c r="BR6" s="714"/>
      <c r="BS6" s="714"/>
      <c r="BT6" s="714"/>
      <c r="BU6" s="714"/>
      <c r="BV6" s="714"/>
      <c r="BW6" s="715"/>
      <c r="BX6" s="713"/>
      <c r="BY6" s="714"/>
      <c r="BZ6" s="714"/>
      <c r="CA6" s="714"/>
      <c r="CB6" s="714"/>
      <c r="CC6" s="714"/>
      <c r="CD6" s="714"/>
      <c r="CE6" s="715"/>
      <c r="CF6" s="698" t="s">
        <v>390</v>
      </c>
      <c r="CG6" s="699"/>
      <c r="CH6" s="699"/>
      <c r="CI6" s="699"/>
      <c r="CJ6" s="699"/>
      <c r="CK6" s="699"/>
      <c r="CL6" s="699"/>
      <c r="CM6" s="701"/>
      <c r="CN6" s="698" t="s">
        <v>205</v>
      </c>
      <c r="CO6" s="699"/>
      <c r="CP6" s="699"/>
      <c r="CQ6" s="699"/>
      <c r="CR6" s="699"/>
      <c r="CS6" s="699"/>
      <c r="CT6" s="699"/>
      <c r="CU6" s="701"/>
      <c r="CV6" s="698" t="s">
        <v>205</v>
      </c>
      <c r="CW6" s="699"/>
      <c r="CX6" s="699"/>
      <c r="CY6" s="699"/>
      <c r="CZ6" s="699"/>
      <c r="DA6" s="699"/>
      <c r="DB6" s="699"/>
      <c r="DC6" s="701"/>
      <c r="DD6" s="698" t="s">
        <v>205</v>
      </c>
      <c r="DE6" s="699"/>
      <c r="DF6" s="699"/>
      <c r="DG6" s="699"/>
      <c r="DH6" s="699"/>
      <c r="DI6" s="699"/>
      <c r="DJ6" s="699"/>
      <c r="DK6" s="700"/>
    </row>
    <row r="7" spans="1:117" s="85" customFormat="1" ht="27.75" customHeight="1" x14ac:dyDescent="0.2">
      <c r="A7" s="704"/>
      <c r="B7" s="705"/>
      <c r="C7" s="705"/>
      <c r="D7" s="705"/>
      <c r="E7" s="706"/>
      <c r="F7" s="680"/>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681"/>
      <c r="BD7" s="698"/>
      <c r="BE7" s="699"/>
      <c r="BF7" s="699"/>
      <c r="BG7" s="699"/>
      <c r="BH7" s="699"/>
      <c r="BI7" s="701"/>
      <c r="BJ7" s="698"/>
      <c r="BK7" s="699"/>
      <c r="BL7" s="699"/>
      <c r="BM7" s="699"/>
      <c r="BN7" s="699"/>
      <c r="BO7" s="701"/>
      <c r="BP7" s="716"/>
      <c r="BQ7" s="717"/>
      <c r="BR7" s="717"/>
      <c r="BS7" s="717"/>
      <c r="BT7" s="717"/>
      <c r="BU7" s="717"/>
      <c r="BV7" s="717"/>
      <c r="BW7" s="718"/>
      <c r="BX7" s="716"/>
      <c r="BY7" s="717"/>
      <c r="BZ7" s="717"/>
      <c r="CA7" s="717"/>
      <c r="CB7" s="717"/>
      <c r="CC7" s="717"/>
      <c r="CD7" s="717"/>
      <c r="CE7" s="718"/>
      <c r="CF7" s="698" t="s">
        <v>391</v>
      </c>
      <c r="CG7" s="699"/>
      <c r="CH7" s="699"/>
      <c r="CI7" s="699"/>
      <c r="CJ7" s="699"/>
      <c r="CK7" s="699"/>
      <c r="CL7" s="699"/>
      <c r="CM7" s="701"/>
      <c r="CN7" s="698" t="s">
        <v>392</v>
      </c>
      <c r="CO7" s="699"/>
      <c r="CP7" s="699"/>
      <c r="CQ7" s="699"/>
      <c r="CR7" s="699"/>
      <c r="CS7" s="699"/>
      <c r="CT7" s="699"/>
      <c r="CU7" s="701"/>
      <c r="CV7" s="698" t="s">
        <v>392</v>
      </c>
      <c r="CW7" s="699"/>
      <c r="CX7" s="699"/>
      <c r="CY7" s="699"/>
      <c r="CZ7" s="699"/>
      <c r="DA7" s="699"/>
      <c r="DB7" s="699"/>
      <c r="DC7" s="701"/>
      <c r="DD7" s="698" t="s">
        <v>208</v>
      </c>
      <c r="DE7" s="699"/>
      <c r="DF7" s="699"/>
      <c r="DG7" s="699"/>
      <c r="DH7" s="699"/>
      <c r="DI7" s="699"/>
      <c r="DJ7" s="699"/>
      <c r="DK7" s="700"/>
    </row>
    <row r="8" spans="1:117" s="85" customFormat="1" ht="12" customHeight="1" thickBot="1" x14ac:dyDescent="0.25">
      <c r="A8" s="694">
        <v>1</v>
      </c>
      <c r="B8" s="695"/>
      <c r="C8" s="695"/>
      <c r="D8" s="695"/>
      <c r="E8" s="696"/>
      <c r="F8" s="696">
        <v>2</v>
      </c>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7"/>
      <c r="AZ8" s="697"/>
      <c r="BA8" s="697"/>
      <c r="BB8" s="697"/>
      <c r="BC8" s="697"/>
      <c r="BD8" s="719">
        <v>3</v>
      </c>
      <c r="BE8" s="719"/>
      <c r="BF8" s="719"/>
      <c r="BG8" s="719"/>
      <c r="BH8" s="719"/>
      <c r="BI8" s="719"/>
      <c r="BJ8" s="719">
        <v>4</v>
      </c>
      <c r="BK8" s="719"/>
      <c r="BL8" s="719"/>
      <c r="BM8" s="719"/>
      <c r="BN8" s="719"/>
      <c r="BO8" s="719"/>
      <c r="BP8" s="731" t="s">
        <v>612</v>
      </c>
      <c r="BQ8" s="732"/>
      <c r="BR8" s="732"/>
      <c r="BS8" s="732"/>
      <c r="BT8" s="732"/>
      <c r="BU8" s="732"/>
      <c r="BV8" s="732"/>
      <c r="BW8" s="733"/>
      <c r="BX8" s="731" t="s">
        <v>613</v>
      </c>
      <c r="BY8" s="732"/>
      <c r="BZ8" s="732"/>
      <c r="CA8" s="732"/>
      <c r="CB8" s="732"/>
      <c r="CC8" s="732"/>
      <c r="CD8" s="732"/>
      <c r="CE8" s="733"/>
      <c r="CF8" s="719">
        <v>5</v>
      </c>
      <c r="CG8" s="719"/>
      <c r="CH8" s="719"/>
      <c r="CI8" s="719"/>
      <c r="CJ8" s="719"/>
      <c r="CK8" s="719"/>
      <c r="CL8" s="719"/>
      <c r="CM8" s="719"/>
      <c r="CN8" s="719">
        <v>6</v>
      </c>
      <c r="CO8" s="719"/>
      <c r="CP8" s="719"/>
      <c r="CQ8" s="719"/>
      <c r="CR8" s="719"/>
      <c r="CS8" s="719"/>
      <c r="CT8" s="719"/>
      <c r="CU8" s="719"/>
      <c r="CV8" s="719">
        <v>7</v>
      </c>
      <c r="CW8" s="719"/>
      <c r="CX8" s="719"/>
      <c r="CY8" s="719"/>
      <c r="CZ8" s="719"/>
      <c r="DA8" s="719"/>
      <c r="DB8" s="719"/>
      <c r="DC8" s="719"/>
      <c r="DD8" s="719">
        <v>8</v>
      </c>
      <c r="DE8" s="719"/>
      <c r="DF8" s="719"/>
      <c r="DG8" s="719"/>
      <c r="DH8" s="719"/>
      <c r="DI8" s="719"/>
      <c r="DJ8" s="719"/>
      <c r="DK8" s="720"/>
    </row>
    <row r="9" spans="1:117" ht="21" customHeight="1" x14ac:dyDescent="0.25">
      <c r="A9" s="721" t="s">
        <v>393</v>
      </c>
      <c r="B9" s="722"/>
      <c r="C9" s="722"/>
      <c r="D9" s="722"/>
      <c r="E9" s="723"/>
      <c r="F9" s="724" t="s">
        <v>494</v>
      </c>
      <c r="G9" s="724"/>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5" t="s">
        <v>394</v>
      </c>
      <c r="BE9" s="726"/>
      <c r="BF9" s="726"/>
      <c r="BG9" s="726"/>
      <c r="BH9" s="726"/>
      <c r="BI9" s="726"/>
      <c r="BJ9" s="727" t="s">
        <v>46</v>
      </c>
      <c r="BK9" s="727"/>
      <c r="BL9" s="727"/>
      <c r="BM9" s="727"/>
      <c r="BN9" s="727"/>
      <c r="BO9" s="727"/>
      <c r="BP9" s="736"/>
      <c r="BQ9" s="734"/>
      <c r="BR9" s="734"/>
      <c r="BS9" s="734"/>
      <c r="BT9" s="734"/>
      <c r="BU9" s="734"/>
      <c r="BV9" s="734"/>
      <c r="BW9" s="735"/>
      <c r="BX9" s="734"/>
      <c r="BY9" s="734"/>
      <c r="BZ9" s="734"/>
      <c r="CA9" s="734"/>
      <c r="CB9" s="734"/>
      <c r="CC9" s="734"/>
      <c r="CD9" s="734"/>
      <c r="CE9" s="735"/>
      <c r="CF9" s="728">
        <f>'Раздел 1'!BL124</f>
        <v>14135325.469999999</v>
      </c>
      <c r="CG9" s="729"/>
      <c r="CH9" s="729"/>
      <c r="CI9" s="729"/>
      <c r="CJ9" s="729"/>
      <c r="CK9" s="729"/>
      <c r="CL9" s="729"/>
      <c r="CM9" s="729"/>
      <c r="CN9" s="728">
        <f>'Раздел 1'!BU124</f>
        <v>13836574.800000001</v>
      </c>
      <c r="CO9" s="729"/>
      <c r="CP9" s="729"/>
      <c r="CQ9" s="729"/>
      <c r="CR9" s="729"/>
      <c r="CS9" s="729"/>
      <c r="CT9" s="729"/>
      <c r="CU9" s="729"/>
      <c r="CV9" s="728">
        <f>'Раздел 1'!CD124</f>
        <v>17473168.09</v>
      </c>
      <c r="CW9" s="729"/>
      <c r="CX9" s="729"/>
      <c r="CY9" s="729"/>
      <c r="CZ9" s="729"/>
      <c r="DA9" s="729"/>
      <c r="DB9" s="729"/>
      <c r="DC9" s="729"/>
      <c r="DD9" s="728">
        <f t="shared" ref="DD9" si="0">DD10</f>
        <v>0</v>
      </c>
      <c r="DE9" s="729"/>
      <c r="DF9" s="729"/>
      <c r="DG9" s="729"/>
      <c r="DH9" s="729"/>
      <c r="DI9" s="729"/>
      <c r="DJ9" s="729"/>
      <c r="DK9" s="730"/>
      <c r="DL9" s="162"/>
      <c r="DM9" s="162"/>
    </row>
    <row r="10" spans="1:117" ht="15" x14ac:dyDescent="0.25">
      <c r="A10" s="395" t="s">
        <v>395</v>
      </c>
      <c r="B10" s="396"/>
      <c r="C10" s="396"/>
      <c r="D10" s="396"/>
      <c r="E10" s="654"/>
      <c r="F10" s="692" t="s">
        <v>2</v>
      </c>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89"/>
      <c r="BD10" s="750" t="s">
        <v>396</v>
      </c>
      <c r="BE10" s="751"/>
      <c r="BF10" s="751"/>
      <c r="BG10" s="751"/>
      <c r="BH10" s="751"/>
      <c r="BI10" s="752"/>
      <c r="BJ10" s="759" t="s">
        <v>46</v>
      </c>
      <c r="BK10" s="760"/>
      <c r="BL10" s="760"/>
      <c r="BM10" s="760"/>
      <c r="BN10" s="760"/>
      <c r="BO10" s="761"/>
      <c r="BP10" s="247"/>
      <c r="BQ10" s="248"/>
      <c r="BR10" s="248"/>
      <c r="BS10" s="248"/>
      <c r="BT10" s="248"/>
      <c r="BU10" s="248"/>
      <c r="BV10" s="248"/>
      <c r="BW10" s="249"/>
      <c r="BX10" s="248"/>
      <c r="BY10" s="248"/>
      <c r="BZ10" s="248"/>
      <c r="CA10" s="248"/>
      <c r="CB10" s="248"/>
      <c r="CC10" s="248"/>
      <c r="CD10" s="248"/>
      <c r="CE10" s="248"/>
      <c r="CF10" s="737"/>
      <c r="CG10" s="738"/>
      <c r="CH10" s="738"/>
      <c r="CI10" s="738"/>
      <c r="CJ10" s="738"/>
      <c r="CK10" s="738"/>
      <c r="CL10" s="738"/>
      <c r="CM10" s="768"/>
      <c r="CN10" s="737"/>
      <c r="CO10" s="738"/>
      <c r="CP10" s="738"/>
      <c r="CQ10" s="738"/>
      <c r="CR10" s="738"/>
      <c r="CS10" s="738"/>
      <c r="CT10" s="738"/>
      <c r="CU10" s="768"/>
      <c r="CV10" s="737"/>
      <c r="CW10" s="738"/>
      <c r="CX10" s="738"/>
      <c r="CY10" s="738"/>
      <c r="CZ10" s="738"/>
      <c r="DA10" s="738"/>
      <c r="DB10" s="738"/>
      <c r="DC10" s="768"/>
      <c r="DD10" s="737">
        <f t="shared" ref="DD10" si="1">DD19+DD22+DD28</f>
        <v>0</v>
      </c>
      <c r="DE10" s="738"/>
      <c r="DF10" s="738"/>
      <c r="DG10" s="738"/>
      <c r="DH10" s="738"/>
      <c r="DI10" s="738"/>
      <c r="DJ10" s="738"/>
      <c r="DK10" s="739"/>
      <c r="DL10" s="162"/>
      <c r="DM10" s="162"/>
    </row>
    <row r="11" spans="1:117" ht="15" x14ac:dyDescent="0.25">
      <c r="A11" s="395"/>
      <c r="B11" s="396"/>
      <c r="C11" s="396"/>
      <c r="D11" s="396"/>
      <c r="E11" s="654"/>
      <c r="F11" s="746" t="s">
        <v>397</v>
      </c>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8"/>
      <c r="BD11" s="753"/>
      <c r="BE11" s="754"/>
      <c r="BF11" s="754"/>
      <c r="BG11" s="754"/>
      <c r="BH11" s="754"/>
      <c r="BI11" s="755"/>
      <c r="BJ11" s="762"/>
      <c r="BK11" s="763"/>
      <c r="BL11" s="763"/>
      <c r="BM11" s="763"/>
      <c r="BN11" s="763"/>
      <c r="BO11" s="764"/>
      <c r="BP11" s="250"/>
      <c r="BQ11" s="251"/>
      <c r="BR11" s="251"/>
      <c r="BS11" s="251"/>
      <c r="BT11" s="251"/>
      <c r="BU11" s="251"/>
      <c r="BV11" s="251"/>
      <c r="BW11" s="252"/>
      <c r="BX11" s="251"/>
      <c r="BY11" s="251"/>
      <c r="BZ11" s="251"/>
      <c r="CA11" s="251"/>
      <c r="CB11" s="251"/>
      <c r="CC11" s="251"/>
      <c r="CD11" s="251"/>
      <c r="CE11" s="251"/>
      <c r="CF11" s="740"/>
      <c r="CG11" s="741"/>
      <c r="CH11" s="741"/>
      <c r="CI11" s="741"/>
      <c r="CJ11" s="741"/>
      <c r="CK11" s="741"/>
      <c r="CL11" s="741"/>
      <c r="CM11" s="769"/>
      <c r="CN11" s="740"/>
      <c r="CO11" s="741"/>
      <c r="CP11" s="741"/>
      <c r="CQ11" s="741"/>
      <c r="CR11" s="741"/>
      <c r="CS11" s="741"/>
      <c r="CT11" s="741"/>
      <c r="CU11" s="769"/>
      <c r="CV11" s="740"/>
      <c r="CW11" s="741"/>
      <c r="CX11" s="741"/>
      <c r="CY11" s="741"/>
      <c r="CZ11" s="741"/>
      <c r="DA11" s="741"/>
      <c r="DB11" s="741"/>
      <c r="DC11" s="769"/>
      <c r="DD11" s="740"/>
      <c r="DE11" s="741"/>
      <c r="DF11" s="741"/>
      <c r="DG11" s="741"/>
      <c r="DH11" s="741"/>
      <c r="DI11" s="741"/>
      <c r="DJ11" s="741"/>
      <c r="DK11" s="742"/>
      <c r="DL11" s="162"/>
      <c r="DM11" s="162"/>
    </row>
    <row r="12" spans="1:117" ht="15" x14ac:dyDescent="0.25">
      <c r="A12" s="395"/>
      <c r="B12" s="396"/>
      <c r="C12" s="396"/>
      <c r="D12" s="396"/>
      <c r="E12" s="654"/>
      <c r="F12" s="746" t="s">
        <v>398</v>
      </c>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7"/>
      <c r="AT12" s="747"/>
      <c r="AU12" s="747"/>
      <c r="AV12" s="747"/>
      <c r="AW12" s="747"/>
      <c r="AX12" s="747"/>
      <c r="AY12" s="747"/>
      <c r="AZ12" s="747"/>
      <c r="BA12" s="747"/>
      <c r="BB12" s="747"/>
      <c r="BC12" s="748"/>
      <c r="BD12" s="753"/>
      <c r="BE12" s="754"/>
      <c r="BF12" s="754"/>
      <c r="BG12" s="754"/>
      <c r="BH12" s="754"/>
      <c r="BI12" s="755"/>
      <c r="BJ12" s="762"/>
      <c r="BK12" s="763"/>
      <c r="BL12" s="763"/>
      <c r="BM12" s="763"/>
      <c r="BN12" s="763"/>
      <c r="BO12" s="764"/>
      <c r="BP12" s="250"/>
      <c r="BQ12" s="251"/>
      <c r="BR12" s="251"/>
      <c r="BS12" s="251"/>
      <c r="BT12" s="251"/>
      <c r="BU12" s="251"/>
      <c r="BV12" s="251"/>
      <c r="BW12" s="252"/>
      <c r="BX12" s="251"/>
      <c r="BY12" s="251"/>
      <c r="BZ12" s="251"/>
      <c r="CA12" s="251"/>
      <c r="CB12" s="251"/>
      <c r="CC12" s="251"/>
      <c r="CD12" s="251"/>
      <c r="CE12" s="251"/>
      <c r="CF12" s="740"/>
      <c r="CG12" s="741"/>
      <c r="CH12" s="741"/>
      <c r="CI12" s="741"/>
      <c r="CJ12" s="741"/>
      <c r="CK12" s="741"/>
      <c r="CL12" s="741"/>
      <c r="CM12" s="769"/>
      <c r="CN12" s="740"/>
      <c r="CO12" s="741"/>
      <c r="CP12" s="741"/>
      <c r="CQ12" s="741"/>
      <c r="CR12" s="741"/>
      <c r="CS12" s="741"/>
      <c r="CT12" s="741"/>
      <c r="CU12" s="769"/>
      <c r="CV12" s="740"/>
      <c r="CW12" s="741"/>
      <c r="CX12" s="741"/>
      <c r="CY12" s="741"/>
      <c r="CZ12" s="741"/>
      <c r="DA12" s="741"/>
      <c r="DB12" s="741"/>
      <c r="DC12" s="769"/>
      <c r="DD12" s="740"/>
      <c r="DE12" s="741"/>
      <c r="DF12" s="741"/>
      <c r="DG12" s="741"/>
      <c r="DH12" s="741"/>
      <c r="DI12" s="741"/>
      <c r="DJ12" s="741"/>
      <c r="DK12" s="742"/>
      <c r="DL12" s="162"/>
      <c r="DM12" s="162"/>
    </row>
    <row r="13" spans="1:117" ht="15" x14ac:dyDescent="0.25">
      <c r="A13" s="395"/>
      <c r="B13" s="396"/>
      <c r="C13" s="396"/>
      <c r="D13" s="396"/>
      <c r="E13" s="654"/>
      <c r="F13" s="746" t="s">
        <v>399</v>
      </c>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7"/>
      <c r="AY13" s="747"/>
      <c r="AZ13" s="747"/>
      <c r="BA13" s="747"/>
      <c r="BB13" s="747"/>
      <c r="BC13" s="748"/>
      <c r="BD13" s="753"/>
      <c r="BE13" s="754"/>
      <c r="BF13" s="754"/>
      <c r="BG13" s="754"/>
      <c r="BH13" s="754"/>
      <c r="BI13" s="755"/>
      <c r="BJ13" s="762"/>
      <c r="BK13" s="763"/>
      <c r="BL13" s="763"/>
      <c r="BM13" s="763"/>
      <c r="BN13" s="763"/>
      <c r="BO13" s="764"/>
      <c r="BP13" s="250"/>
      <c r="BQ13" s="251"/>
      <c r="BR13" s="251"/>
      <c r="BS13" s="251"/>
      <c r="BT13" s="251"/>
      <c r="BU13" s="251"/>
      <c r="BV13" s="251"/>
      <c r="BW13" s="252"/>
      <c r="BX13" s="251"/>
      <c r="BY13" s="251"/>
      <c r="BZ13" s="251"/>
      <c r="CA13" s="251"/>
      <c r="CB13" s="251"/>
      <c r="CC13" s="251"/>
      <c r="CD13" s="251"/>
      <c r="CE13" s="251"/>
      <c r="CF13" s="740"/>
      <c r="CG13" s="741"/>
      <c r="CH13" s="741"/>
      <c r="CI13" s="741"/>
      <c r="CJ13" s="741"/>
      <c r="CK13" s="741"/>
      <c r="CL13" s="741"/>
      <c r="CM13" s="769"/>
      <c r="CN13" s="740"/>
      <c r="CO13" s="741"/>
      <c r="CP13" s="741"/>
      <c r="CQ13" s="741"/>
      <c r="CR13" s="741"/>
      <c r="CS13" s="741"/>
      <c r="CT13" s="741"/>
      <c r="CU13" s="769"/>
      <c r="CV13" s="740"/>
      <c r="CW13" s="741"/>
      <c r="CX13" s="741"/>
      <c r="CY13" s="741"/>
      <c r="CZ13" s="741"/>
      <c r="DA13" s="741"/>
      <c r="DB13" s="741"/>
      <c r="DC13" s="769"/>
      <c r="DD13" s="740"/>
      <c r="DE13" s="741"/>
      <c r="DF13" s="741"/>
      <c r="DG13" s="741"/>
      <c r="DH13" s="741"/>
      <c r="DI13" s="741"/>
      <c r="DJ13" s="741"/>
      <c r="DK13" s="742"/>
      <c r="DL13" s="162"/>
      <c r="DM13" s="162"/>
    </row>
    <row r="14" spans="1:117" ht="15" x14ac:dyDescent="0.25">
      <c r="A14" s="395"/>
      <c r="B14" s="396"/>
      <c r="C14" s="396"/>
      <c r="D14" s="396"/>
      <c r="E14" s="654"/>
      <c r="F14" s="746" t="s">
        <v>400</v>
      </c>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7"/>
      <c r="AY14" s="747"/>
      <c r="AZ14" s="747"/>
      <c r="BA14" s="747"/>
      <c r="BB14" s="747"/>
      <c r="BC14" s="748"/>
      <c r="BD14" s="753"/>
      <c r="BE14" s="754"/>
      <c r="BF14" s="754"/>
      <c r="BG14" s="754"/>
      <c r="BH14" s="754"/>
      <c r="BI14" s="755"/>
      <c r="BJ14" s="762"/>
      <c r="BK14" s="763"/>
      <c r="BL14" s="763"/>
      <c r="BM14" s="763"/>
      <c r="BN14" s="763"/>
      <c r="BO14" s="764"/>
      <c r="BP14" s="250"/>
      <c r="BQ14" s="251"/>
      <c r="BR14" s="251"/>
      <c r="BS14" s="251"/>
      <c r="BT14" s="251"/>
      <c r="BU14" s="251"/>
      <c r="BV14" s="251"/>
      <c r="BW14" s="252"/>
      <c r="BX14" s="251"/>
      <c r="BY14" s="251"/>
      <c r="BZ14" s="251"/>
      <c r="CA14" s="251"/>
      <c r="CB14" s="251"/>
      <c r="CC14" s="251"/>
      <c r="CD14" s="251"/>
      <c r="CE14" s="251"/>
      <c r="CF14" s="740"/>
      <c r="CG14" s="741"/>
      <c r="CH14" s="741"/>
      <c r="CI14" s="741"/>
      <c r="CJ14" s="741"/>
      <c r="CK14" s="741"/>
      <c r="CL14" s="741"/>
      <c r="CM14" s="769"/>
      <c r="CN14" s="740"/>
      <c r="CO14" s="741"/>
      <c r="CP14" s="741"/>
      <c r="CQ14" s="741"/>
      <c r="CR14" s="741"/>
      <c r="CS14" s="741"/>
      <c r="CT14" s="741"/>
      <c r="CU14" s="769"/>
      <c r="CV14" s="740"/>
      <c r="CW14" s="741"/>
      <c r="CX14" s="741"/>
      <c r="CY14" s="741"/>
      <c r="CZ14" s="741"/>
      <c r="DA14" s="741"/>
      <c r="DB14" s="741"/>
      <c r="DC14" s="769"/>
      <c r="DD14" s="740"/>
      <c r="DE14" s="741"/>
      <c r="DF14" s="741"/>
      <c r="DG14" s="741"/>
      <c r="DH14" s="741"/>
      <c r="DI14" s="741"/>
      <c r="DJ14" s="741"/>
      <c r="DK14" s="742"/>
      <c r="DL14" s="162"/>
      <c r="DM14" s="162"/>
    </row>
    <row r="15" spans="1:117" ht="15" x14ac:dyDescent="0.25">
      <c r="A15" s="395"/>
      <c r="B15" s="396"/>
      <c r="C15" s="396"/>
      <c r="D15" s="396"/>
      <c r="E15" s="654"/>
      <c r="F15" s="746" t="s">
        <v>401</v>
      </c>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c r="BA15" s="747"/>
      <c r="BB15" s="747"/>
      <c r="BC15" s="748"/>
      <c r="BD15" s="753"/>
      <c r="BE15" s="754"/>
      <c r="BF15" s="754"/>
      <c r="BG15" s="754"/>
      <c r="BH15" s="754"/>
      <c r="BI15" s="755"/>
      <c r="BJ15" s="762"/>
      <c r="BK15" s="763"/>
      <c r="BL15" s="763"/>
      <c r="BM15" s="763"/>
      <c r="BN15" s="763"/>
      <c r="BO15" s="764"/>
      <c r="BP15" s="250"/>
      <c r="BQ15" s="251"/>
      <c r="BR15" s="251"/>
      <c r="BS15" s="251"/>
      <c r="BT15" s="251"/>
      <c r="BU15" s="251"/>
      <c r="BV15" s="251"/>
      <c r="BW15" s="252"/>
      <c r="BX15" s="251"/>
      <c r="BY15" s="251"/>
      <c r="BZ15" s="251"/>
      <c r="CA15" s="251"/>
      <c r="CB15" s="251"/>
      <c r="CC15" s="251"/>
      <c r="CD15" s="251"/>
      <c r="CE15" s="251"/>
      <c r="CF15" s="740"/>
      <c r="CG15" s="741"/>
      <c r="CH15" s="741"/>
      <c r="CI15" s="741"/>
      <c r="CJ15" s="741"/>
      <c r="CK15" s="741"/>
      <c r="CL15" s="741"/>
      <c r="CM15" s="769"/>
      <c r="CN15" s="740"/>
      <c r="CO15" s="741"/>
      <c r="CP15" s="741"/>
      <c r="CQ15" s="741"/>
      <c r="CR15" s="741"/>
      <c r="CS15" s="741"/>
      <c r="CT15" s="741"/>
      <c r="CU15" s="769"/>
      <c r="CV15" s="740"/>
      <c r="CW15" s="741"/>
      <c r="CX15" s="741"/>
      <c r="CY15" s="741"/>
      <c r="CZ15" s="741"/>
      <c r="DA15" s="741"/>
      <c r="DB15" s="741"/>
      <c r="DC15" s="769"/>
      <c r="DD15" s="740"/>
      <c r="DE15" s="741"/>
      <c r="DF15" s="741"/>
      <c r="DG15" s="741"/>
      <c r="DH15" s="741"/>
      <c r="DI15" s="741"/>
      <c r="DJ15" s="741"/>
      <c r="DK15" s="742"/>
      <c r="DL15" s="162"/>
      <c r="DM15" s="162"/>
    </row>
    <row r="16" spans="1:117" ht="15" x14ac:dyDescent="0.25">
      <c r="A16" s="395"/>
      <c r="B16" s="396"/>
      <c r="C16" s="396"/>
      <c r="D16" s="396"/>
      <c r="E16" s="654"/>
      <c r="F16" s="746" t="s">
        <v>402</v>
      </c>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748"/>
      <c r="BD16" s="753"/>
      <c r="BE16" s="754"/>
      <c r="BF16" s="754"/>
      <c r="BG16" s="754"/>
      <c r="BH16" s="754"/>
      <c r="BI16" s="755"/>
      <c r="BJ16" s="762"/>
      <c r="BK16" s="763"/>
      <c r="BL16" s="763"/>
      <c r="BM16" s="763"/>
      <c r="BN16" s="763"/>
      <c r="BO16" s="764"/>
      <c r="BP16" s="250"/>
      <c r="BQ16" s="251"/>
      <c r="BR16" s="251"/>
      <c r="BS16" s="251"/>
      <c r="BT16" s="251"/>
      <c r="BU16" s="251"/>
      <c r="BV16" s="251"/>
      <c r="BW16" s="252"/>
      <c r="BX16" s="251"/>
      <c r="BY16" s="251"/>
      <c r="BZ16" s="251"/>
      <c r="CA16" s="251"/>
      <c r="CB16" s="251"/>
      <c r="CC16" s="251"/>
      <c r="CD16" s="251"/>
      <c r="CE16" s="251"/>
      <c r="CF16" s="740"/>
      <c r="CG16" s="741"/>
      <c r="CH16" s="741"/>
      <c r="CI16" s="741"/>
      <c r="CJ16" s="741"/>
      <c r="CK16" s="741"/>
      <c r="CL16" s="741"/>
      <c r="CM16" s="769"/>
      <c r="CN16" s="740"/>
      <c r="CO16" s="741"/>
      <c r="CP16" s="741"/>
      <c r="CQ16" s="741"/>
      <c r="CR16" s="741"/>
      <c r="CS16" s="741"/>
      <c r="CT16" s="741"/>
      <c r="CU16" s="769"/>
      <c r="CV16" s="740"/>
      <c r="CW16" s="741"/>
      <c r="CX16" s="741"/>
      <c r="CY16" s="741"/>
      <c r="CZ16" s="741"/>
      <c r="DA16" s="741"/>
      <c r="DB16" s="741"/>
      <c r="DC16" s="769"/>
      <c r="DD16" s="740"/>
      <c r="DE16" s="741"/>
      <c r="DF16" s="741"/>
      <c r="DG16" s="741"/>
      <c r="DH16" s="741"/>
      <c r="DI16" s="741"/>
      <c r="DJ16" s="741"/>
      <c r="DK16" s="742"/>
      <c r="DL16" s="162"/>
      <c r="DM16" s="162"/>
    </row>
    <row r="17" spans="1:117" ht="15" x14ac:dyDescent="0.25">
      <c r="A17" s="395"/>
      <c r="B17" s="396"/>
      <c r="C17" s="396"/>
      <c r="D17" s="396"/>
      <c r="E17" s="654"/>
      <c r="F17" s="746" t="s">
        <v>403</v>
      </c>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8"/>
      <c r="BD17" s="753"/>
      <c r="BE17" s="754"/>
      <c r="BF17" s="754"/>
      <c r="BG17" s="754"/>
      <c r="BH17" s="754"/>
      <c r="BI17" s="755"/>
      <c r="BJ17" s="762"/>
      <c r="BK17" s="763"/>
      <c r="BL17" s="763"/>
      <c r="BM17" s="763"/>
      <c r="BN17" s="763"/>
      <c r="BO17" s="764"/>
      <c r="BP17" s="250"/>
      <c r="BQ17" s="251"/>
      <c r="BR17" s="251"/>
      <c r="BS17" s="251"/>
      <c r="BT17" s="251"/>
      <c r="BU17" s="251"/>
      <c r="BV17" s="251"/>
      <c r="BW17" s="252"/>
      <c r="BX17" s="251"/>
      <c r="BY17" s="251"/>
      <c r="BZ17" s="251"/>
      <c r="CA17" s="251"/>
      <c r="CB17" s="251"/>
      <c r="CC17" s="251"/>
      <c r="CD17" s="251"/>
      <c r="CE17" s="251"/>
      <c r="CF17" s="740"/>
      <c r="CG17" s="741"/>
      <c r="CH17" s="741"/>
      <c r="CI17" s="741"/>
      <c r="CJ17" s="741"/>
      <c r="CK17" s="741"/>
      <c r="CL17" s="741"/>
      <c r="CM17" s="769"/>
      <c r="CN17" s="740"/>
      <c r="CO17" s="741"/>
      <c r="CP17" s="741"/>
      <c r="CQ17" s="741"/>
      <c r="CR17" s="741"/>
      <c r="CS17" s="741"/>
      <c r="CT17" s="741"/>
      <c r="CU17" s="769"/>
      <c r="CV17" s="740"/>
      <c r="CW17" s="741"/>
      <c r="CX17" s="741"/>
      <c r="CY17" s="741"/>
      <c r="CZ17" s="741"/>
      <c r="DA17" s="741"/>
      <c r="DB17" s="741"/>
      <c r="DC17" s="769"/>
      <c r="DD17" s="740"/>
      <c r="DE17" s="741"/>
      <c r="DF17" s="741"/>
      <c r="DG17" s="741"/>
      <c r="DH17" s="741"/>
      <c r="DI17" s="741"/>
      <c r="DJ17" s="741"/>
      <c r="DK17" s="742"/>
      <c r="DL17" s="162"/>
      <c r="DM17" s="162"/>
    </row>
    <row r="18" spans="1:117" ht="12.75" customHeight="1" x14ac:dyDescent="0.25">
      <c r="A18" s="395"/>
      <c r="B18" s="396"/>
      <c r="C18" s="396"/>
      <c r="D18" s="396"/>
      <c r="E18" s="654"/>
      <c r="F18" s="749" t="s">
        <v>609</v>
      </c>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749"/>
      <c r="AR18" s="749"/>
      <c r="AS18" s="749"/>
      <c r="AT18" s="749"/>
      <c r="AU18" s="749"/>
      <c r="AV18" s="749"/>
      <c r="AW18" s="749"/>
      <c r="AX18" s="749"/>
      <c r="AY18" s="749"/>
      <c r="AZ18" s="749"/>
      <c r="BA18" s="749"/>
      <c r="BB18" s="749"/>
      <c r="BC18" s="749"/>
      <c r="BD18" s="756"/>
      <c r="BE18" s="757"/>
      <c r="BF18" s="757"/>
      <c r="BG18" s="757"/>
      <c r="BH18" s="757"/>
      <c r="BI18" s="758"/>
      <c r="BJ18" s="765"/>
      <c r="BK18" s="766"/>
      <c r="BL18" s="766"/>
      <c r="BM18" s="766"/>
      <c r="BN18" s="766"/>
      <c r="BO18" s="767"/>
      <c r="BP18" s="253"/>
      <c r="BQ18" s="254"/>
      <c r="BR18" s="254"/>
      <c r="BS18" s="254"/>
      <c r="BT18" s="254"/>
      <c r="BU18" s="254"/>
      <c r="BV18" s="254"/>
      <c r="BW18" s="255"/>
      <c r="BX18" s="254"/>
      <c r="BY18" s="254"/>
      <c r="BZ18" s="254"/>
      <c r="CA18" s="254"/>
      <c r="CB18" s="254"/>
      <c r="CC18" s="254"/>
      <c r="CD18" s="254"/>
      <c r="CE18" s="254"/>
      <c r="CF18" s="743"/>
      <c r="CG18" s="744"/>
      <c r="CH18" s="744"/>
      <c r="CI18" s="744"/>
      <c r="CJ18" s="744"/>
      <c r="CK18" s="744"/>
      <c r="CL18" s="744"/>
      <c r="CM18" s="770"/>
      <c r="CN18" s="743"/>
      <c r="CO18" s="744"/>
      <c r="CP18" s="744"/>
      <c r="CQ18" s="744"/>
      <c r="CR18" s="744"/>
      <c r="CS18" s="744"/>
      <c r="CT18" s="744"/>
      <c r="CU18" s="770"/>
      <c r="CV18" s="743"/>
      <c r="CW18" s="744"/>
      <c r="CX18" s="744"/>
      <c r="CY18" s="744"/>
      <c r="CZ18" s="744"/>
      <c r="DA18" s="744"/>
      <c r="DB18" s="744"/>
      <c r="DC18" s="770"/>
      <c r="DD18" s="743"/>
      <c r="DE18" s="744"/>
      <c r="DF18" s="744"/>
      <c r="DG18" s="744"/>
      <c r="DH18" s="744"/>
      <c r="DI18" s="744"/>
      <c r="DJ18" s="744"/>
      <c r="DK18" s="745"/>
      <c r="DL18" s="162"/>
      <c r="DM18" s="162"/>
    </row>
    <row r="19" spans="1:117" ht="12.75" customHeight="1" x14ac:dyDescent="0.25">
      <c r="A19" s="395" t="s">
        <v>404</v>
      </c>
      <c r="B19" s="396"/>
      <c r="C19" s="396"/>
      <c r="D19" s="396"/>
      <c r="E19" s="654"/>
      <c r="F19" s="689" t="s">
        <v>405</v>
      </c>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1"/>
      <c r="BD19" s="750" t="s">
        <v>406</v>
      </c>
      <c r="BE19" s="751"/>
      <c r="BF19" s="751"/>
      <c r="BG19" s="751"/>
      <c r="BH19" s="751"/>
      <c r="BI19" s="752"/>
      <c r="BJ19" s="759" t="s">
        <v>46</v>
      </c>
      <c r="BK19" s="760"/>
      <c r="BL19" s="760"/>
      <c r="BM19" s="760"/>
      <c r="BN19" s="760"/>
      <c r="BO19" s="761"/>
      <c r="BP19" s="247"/>
      <c r="BQ19" s="248"/>
      <c r="BR19" s="248"/>
      <c r="BS19" s="248"/>
      <c r="BT19" s="248"/>
      <c r="BU19" s="248"/>
      <c r="BV19" s="248"/>
      <c r="BW19" s="249"/>
      <c r="BX19" s="248"/>
      <c r="BY19" s="248"/>
      <c r="BZ19" s="248"/>
      <c r="CA19" s="248"/>
      <c r="CB19" s="248"/>
      <c r="CC19" s="248"/>
      <c r="CD19" s="248"/>
      <c r="CE19" s="248"/>
      <c r="CF19" s="737"/>
      <c r="CG19" s="738"/>
      <c r="CH19" s="738"/>
      <c r="CI19" s="738"/>
      <c r="CJ19" s="738"/>
      <c r="CK19" s="738"/>
      <c r="CL19" s="738"/>
      <c r="CM19" s="768"/>
      <c r="CN19" s="737"/>
      <c r="CO19" s="738"/>
      <c r="CP19" s="738"/>
      <c r="CQ19" s="738"/>
      <c r="CR19" s="738"/>
      <c r="CS19" s="738"/>
      <c r="CT19" s="738"/>
      <c r="CU19" s="768"/>
      <c r="CV19" s="737"/>
      <c r="CW19" s="738"/>
      <c r="CX19" s="738"/>
      <c r="CY19" s="738"/>
      <c r="CZ19" s="738"/>
      <c r="DA19" s="738"/>
      <c r="DB19" s="738"/>
      <c r="DC19" s="768"/>
      <c r="DD19" s="737"/>
      <c r="DE19" s="738"/>
      <c r="DF19" s="738"/>
      <c r="DG19" s="738"/>
      <c r="DH19" s="738"/>
      <c r="DI19" s="738"/>
      <c r="DJ19" s="738"/>
      <c r="DK19" s="739"/>
      <c r="DL19" s="162"/>
      <c r="DM19" s="162"/>
    </row>
    <row r="20" spans="1:117" ht="12.75" customHeight="1" x14ac:dyDescent="0.25">
      <c r="A20" s="395"/>
      <c r="B20" s="396"/>
      <c r="C20" s="396"/>
      <c r="D20" s="396"/>
      <c r="E20" s="654"/>
      <c r="F20" s="746" t="s">
        <v>407</v>
      </c>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8"/>
      <c r="BD20" s="753"/>
      <c r="BE20" s="754"/>
      <c r="BF20" s="754"/>
      <c r="BG20" s="754"/>
      <c r="BH20" s="754"/>
      <c r="BI20" s="755"/>
      <c r="BJ20" s="762"/>
      <c r="BK20" s="763"/>
      <c r="BL20" s="763"/>
      <c r="BM20" s="763"/>
      <c r="BN20" s="763"/>
      <c r="BO20" s="764"/>
      <c r="BP20" s="250"/>
      <c r="BQ20" s="251"/>
      <c r="BR20" s="251"/>
      <c r="BS20" s="251"/>
      <c r="BT20" s="251"/>
      <c r="BU20" s="251"/>
      <c r="BV20" s="251"/>
      <c r="BW20" s="252"/>
      <c r="BX20" s="251"/>
      <c r="BY20" s="251"/>
      <c r="BZ20" s="251"/>
      <c r="CA20" s="251"/>
      <c r="CB20" s="251"/>
      <c r="CC20" s="251"/>
      <c r="CD20" s="251"/>
      <c r="CE20" s="251"/>
      <c r="CF20" s="740"/>
      <c r="CG20" s="741"/>
      <c r="CH20" s="741"/>
      <c r="CI20" s="741"/>
      <c r="CJ20" s="741"/>
      <c r="CK20" s="741"/>
      <c r="CL20" s="741"/>
      <c r="CM20" s="769"/>
      <c r="CN20" s="740"/>
      <c r="CO20" s="741"/>
      <c r="CP20" s="741"/>
      <c r="CQ20" s="741"/>
      <c r="CR20" s="741"/>
      <c r="CS20" s="741"/>
      <c r="CT20" s="741"/>
      <c r="CU20" s="769"/>
      <c r="CV20" s="740"/>
      <c r="CW20" s="741"/>
      <c r="CX20" s="741"/>
      <c r="CY20" s="741"/>
      <c r="CZ20" s="741"/>
      <c r="DA20" s="741"/>
      <c r="DB20" s="741"/>
      <c r="DC20" s="769"/>
      <c r="DD20" s="740"/>
      <c r="DE20" s="741"/>
      <c r="DF20" s="741"/>
      <c r="DG20" s="741"/>
      <c r="DH20" s="741"/>
      <c r="DI20" s="741"/>
      <c r="DJ20" s="741"/>
      <c r="DK20" s="742"/>
      <c r="DL20" s="162"/>
      <c r="DM20" s="162"/>
    </row>
    <row r="21" spans="1:117" ht="12.75" customHeight="1" x14ac:dyDescent="0.25">
      <c r="A21" s="395"/>
      <c r="B21" s="396"/>
      <c r="C21" s="396"/>
      <c r="D21" s="396"/>
      <c r="E21" s="654"/>
      <c r="F21" s="749" t="s">
        <v>615</v>
      </c>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56"/>
      <c r="BE21" s="757"/>
      <c r="BF21" s="757"/>
      <c r="BG21" s="757"/>
      <c r="BH21" s="757"/>
      <c r="BI21" s="758"/>
      <c r="BJ21" s="765"/>
      <c r="BK21" s="766"/>
      <c r="BL21" s="766"/>
      <c r="BM21" s="766"/>
      <c r="BN21" s="766"/>
      <c r="BO21" s="767"/>
      <c r="BP21" s="253"/>
      <c r="BQ21" s="254"/>
      <c r="BR21" s="254"/>
      <c r="BS21" s="254"/>
      <c r="BT21" s="254"/>
      <c r="BU21" s="254"/>
      <c r="BV21" s="254"/>
      <c r="BW21" s="255"/>
      <c r="BX21" s="254"/>
      <c r="BY21" s="254"/>
      <c r="BZ21" s="254"/>
      <c r="CA21" s="254"/>
      <c r="CB21" s="254"/>
      <c r="CC21" s="254"/>
      <c r="CD21" s="254"/>
      <c r="CE21" s="254"/>
      <c r="CF21" s="743"/>
      <c r="CG21" s="744"/>
      <c r="CH21" s="744"/>
      <c r="CI21" s="744"/>
      <c r="CJ21" s="744"/>
      <c r="CK21" s="744"/>
      <c r="CL21" s="744"/>
      <c r="CM21" s="770"/>
      <c r="CN21" s="743"/>
      <c r="CO21" s="744"/>
      <c r="CP21" s="744"/>
      <c r="CQ21" s="744"/>
      <c r="CR21" s="744"/>
      <c r="CS21" s="744"/>
      <c r="CT21" s="744"/>
      <c r="CU21" s="770"/>
      <c r="CV21" s="743"/>
      <c r="CW21" s="744"/>
      <c r="CX21" s="744"/>
      <c r="CY21" s="744"/>
      <c r="CZ21" s="744"/>
      <c r="DA21" s="744"/>
      <c r="DB21" s="744"/>
      <c r="DC21" s="770"/>
      <c r="DD21" s="743"/>
      <c r="DE21" s="744"/>
      <c r="DF21" s="744"/>
      <c r="DG21" s="744"/>
      <c r="DH21" s="744"/>
      <c r="DI21" s="744"/>
      <c r="DJ21" s="744"/>
      <c r="DK21" s="745"/>
      <c r="DL21" s="162"/>
      <c r="DM21" s="162"/>
    </row>
    <row r="22" spans="1:117" ht="12.75" customHeight="1" x14ac:dyDescent="0.25">
      <c r="A22" s="395" t="s">
        <v>408</v>
      </c>
      <c r="B22" s="396"/>
      <c r="C22" s="396"/>
      <c r="D22" s="396"/>
      <c r="E22" s="654"/>
      <c r="F22" s="689" t="s">
        <v>409</v>
      </c>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1"/>
      <c r="BD22" s="750" t="s">
        <v>410</v>
      </c>
      <c r="BE22" s="751"/>
      <c r="BF22" s="751"/>
      <c r="BG22" s="751"/>
      <c r="BH22" s="751"/>
      <c r="BI22" s="752"/>
      <c r="BJ22" s="759" t="s">
        <v>46</v>
      </c>
      <c r="BK22" s="760"/>
      <c r="BL22" s="760"/>
      <c r="BM22" s="760"/>
      <c r="BN22" s="760"/>
      <c r="BO22" s="761"/>
      <c r="BP22" s="247"/>
      <c r="BQ22" s="248"/>
      <c r="BR22" s="248"/>
      <c r="BS22" s="248"/>
      <c r="BT22" s="248"/>
      <c r="BU22" s="248"/>
      <c r="BV22" s="248"/>
      <c r="BW22" s="249"/>
      <c r="BX22" s="248"/>
      <c r="BY22" s="248"/>
      <c r="BZ22" s="248"/>
      <c r="CA22" s="248"/>
      <c r="CB22" s="248"/>
      <c r="CC22" s="248"/>
      <c r="CD22" s="248"/>
      <c r="CE22" s="248"/>
      <c r="CF22" s="737">
        <f>CF24</f>
        <v>728694.26</v>
      </c>
      <c r="CG22" s="738"/>
      <c r="CH22" s="738"/>
      <c r="CI22" s="738"/>
      <c r="CJ22" s="738"/>
      <c r="CK22" s="738"/>
      <c r="CL22" s="738"/>
      <c r="CM22" s="768"/>
      <c r="CN22" s="737"/>
      <c r="CO22" s="738"/>
      <c r="CP22" s="738"/>
      <c r="CQ22" s="738"/>
      <c r="CR22" s="738"/>
      <c r="CS22" s="738"/>
      <c r="CT22" s="738"/>
      <c r="CU22" s="768"/>
      <c r="CV22" s="737"/>
      <c r="CW22" s="738"/>
      <c r="CX22" s="738"/>
      <c r="CY22" s="738"/>
      <c r="CZ22" s="738"/>
      <c r="DA22" s="738"/>
      <c r="DB22" s="738"/>
      <c r="DC22" s="768"/>
      <c r="DD22" s="737"/>
      <c r="DE22" s="738"/>
      <c r="DF22" s="738"/>
      <c r="DG22" s="738"/>
      <c r="DH22" s="738"/>
      <c r="DI22" s="738"/>
      <c r="DJ22" s="738"/>
      <c r="DK22" s="739"/>
      <c r="DL22" s="162"/>
      <c r="DM22" s="162"/>
    </row>
    <row r="23" spans="1:117" ht="12.75" customHeight="1" x14ac:dyDescent="0.25">
      <c r="A23" s="395"/>
      <c r="B23" s="396"/>
      <c r="C23" s="396"/>
      <c r="D23" s="396"/>
      <c r="E23" s="654"/>
      <c r="F23" s="749" t="s">
        <v>616</v>
      </c>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49"/>
      <c r="AY23" s="749"/>
      <c r="AZ23" s="749"/>
      <c r="BA23" s="749"/>
      <c r="BB23" s="749"/>
      <c r="BC23" s="749"/>
      <c r="BD23" s="756"/>
      <c r="BE23" s="757"/>
      <c r="BF23" s="757"/>
      <c r="BG23" s="757"/>
      <c r="BH23" s="757"/>
      <c r="BI23" s="758"/>
      <c r="BJ23" s="765"/>
      <c r="BK23" s="766"/>
      <c r="BL23" s="766"/>
      <c r="BM23" s="766"/>
      <c r="BN23" s="766"/>
      <c r="BO23" s="767"/>
      <c r="BP23" s="253"/>
      <c r="BQ23" s="254"/>
      <c r="BR23" s="254"/>
      <c r="BS23" s="254"/>
      <c r="BT23" s="254"/>
      <c r="BU23" s="254"/>
      <c r="BV23" s="254"/>
      <c r="BW23" s="255"/>
      <c r="BX23" s="254"/>
      <c r="BY23" s="254"/>
      <c r="BZ23" s="254"/>
      <c r="CA23" s="254"/>
      <c r="CB23" s="254"/>
      <c r="CC23" s="254"/>
      <c r="CD23" s="254"/>
      <c r="CE23" s="254"/>
      <c r="CF23" s="743"/>
      <c r="CG23" s="744"/>
      <c r="CH23" s="744"/>
      <c r="CI23" s="744"/>
      <c r="CJ23" s="744"/>
      <c r="CK23" s="744"/>
      <c r="CL23" s="744"/>
      <c r="CM23" s="770"/>
      <c r="CN23" s="743"/>
      <c r="CO23" s="744"/>
      <c r="CP23" s="744"/>
      <c r="CQ23" s="744"/>
      <c r="CR23" s="744"/>
      <c r="CS23" s="744"/>
      <c r="CT23" s="744"/>
      <c r="CU23" s="770"/>
      <c r="CV23" s="743"/>
      <c r="CW23" s="744"/>
      <c r="CX23" s="744"/>
      <c r="CY23" s="744"/>
      <c r="CZ23" s="744"/>
      <c r="DA23" s="744"/>
      <c r="DB23" s="744"/>
      <c r="DC23" s="770"/>
      <c r="DD23" s="743"/>
      <c r="DE23" s="744"/>
      <c r="DF23" s="744"/>
      <c r="DG23" s="744"/>
      <c r="DH23" s="744"/>
      <c r="DI23" s="744"/>
      <c r="DJ23" s="744"/>
      <c r="DK23" s="745"/>
      <c r="DL23" s="162"/>
      <c r="DM23" s="162"/>
    </row>
    <row r="24" spans="1:117" s="153" customFormat="1" ht="20.25" customHeight="1" x14ac:dyDescent="0.2">
      <c r="A24" s="827" t="s">
        <v>502</v>
      </c>
      <c r="B24" s="828"/>
      <c r="C24" s="828"/>
      <c r="D24" s="828"/>
      <c r="E24" s="829"/>
      <c r="F24" s="830" t="s">
        <v>420</v>
      </c>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830"/>
      <c r="BA24" s="830"/>
      <c r="BB24" s="830"/>
      <c r="BC24" s="830"/>
      <c r="BD24" s="827" t="s">
        <v>503</v>
      </c>
      <c r="BE24" s="828"/>
      <c r="BF24" s="828"/>
      <c r="BG24" s="828"/>
      <c r="BH24" s="828"/>
      <c r="BI24" s="829"/>
      <c r="BJ24" s="831" t="s">
        <v>46</v>
      </c>
      <c r="BK24" s="828"/>
      <c r="BL24" s="828"/>
      <c r="BM24" s="828"/>
      <c r="BN24" s="828"/>
      <c r="BO24" s="829"/>
      <c r="BP24" s="256"/>
      <c r="BQ24" s="257"/>
      <c r="BR24" s="257"/>
      <c r="BS24" s="257"/>
      <c r="BT24" s="257"/>
      <c r="BU24" s="257"/>
      <c r="BV24" s="257"/>
      <c r="BW24" s="258"/>
      <c r="BX24" s="257"/>
      <c r="BY24" s="257"/>
      <c r="BZ24" s="257"/>
      <c r="CA24" s="257"/>
      <c r="CB24" s="257"/>
      <c r="CC24" s="257"/>
      <c r="CD24" s="257"/>
      <c r="CE24" s="257"/>
      <c r="CF24" s="667">
        <f>CF25</f>
        <v>728694.26</v>
      </c>
      <c r="CG24" s="668"/>
      <c r="CH24" s="668"/>
      <c r="CI24" s="668"/>
      <c r="CJ24" s="668"/>
      <c r="CK24" s="668"/>
      <c r="CL24" s="668"/>
      <c r="CM24" s="669"/>
      <c r="CN24" s="259"/>
      <c r="CO24" s="260"/>
      <c r="CP24" s="260"/>
      <c r="CQ24" s="260"/>
      <c r="CR24" s="260"/>
      <c r="CS24" s="260"/>
      <c r="CT24" s="260"/>
      <c r="CU24" s="261"/>
      <c r="CV24" s="259"/>
      <c r="CW24" s="260"/>
      <c r="CX24" s="260"/>
      <c r="CY24" s="260"/>
      <c r="CZ24" s="260"/>
      <c r="DA24" s="260"/>
      <c r="DB24" s="260"/>
      <c r="DC24" s="261"/>
      <c r="DD24" s="259"/>
      <c r="DE24" s="260"/>
      <c r="DF24" s="260"/>
      <c r="DG24" s="260"/>
      <c r="DH24" s="260"/>
      <c r="DI24" s="260"/>
      <c r="DJ24" s="260"/>
      <c r="DK24" s="262"/>
    </row>
    <row r="25" spans="1:117" s="153" customFormat="1" ht="16.5" customHeight="1" x14ac:dyDescent="0.25">
      <c r="A25" s="263"/>
      <c r="B25" s="264"/>
      <c r="C25" s="264"/>
      <c r="D25" s="264"/>
      <c r="E25" s="265"/>
      <c r="F25" s="266"/>
      <c r="G25" s="267" t="s">
        <v>504</v>
      </c>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827" t="s">
        <v>505</v>
      </c>
      <c r="BE25" s="828"/>
      <c r="BF25" s="828"/>
      <c r="BG25" s="828"/>
      <c r="BH25" s="828"/>
      <c r="BI25" s="829"/>
      <c r="BJ25" s="831" t="s">
        <v>46</v>
      </c>
      <c r="BK25" s="828"/>
      <c r="BL25" s="828"/>
      <c r="BM25" s="828"/>
      <c r="BN25" s="828"/>
      <c r="BO25" s="829"/>
      <c r="BP25" s="235"/>
      <c r="BQ25" s="236"/>
      <c r="BR25" s="236"/>
      <c r="BS25" s="236"/>
      <c r="BT25" s="236"/>
      <c r="BU25" s="236"/>
      <c r="BV25" s="236"/>
      <c r="BW25" s="237"/>
      <c r="BX25" s="236"/>
      <c r="BY25" s="236"/>
      <c r="BZ25" s="236"/>
      <c r="CA25" s="236"/>
      <c r="CB25" s="236"/>
      <c r="CC25" s="236"/>
      <c r="CD25" s="236"/>
      <c r="CE25" s="237"/>
      <c r="CF25" s="346">
        <f>45218+683476.26</f>
        <v>728694.26</v>
      </c>
      <c r="CG25" s="347"/>
      <c r="CH25" s="347"/>
      <c r="CI25" s="347"/>
      <c r="CJ25" s="347"/>
      <c r="CK25" s="347"/>
      <c r="CL25" s="347"/>
      <c r="CM25" s="348"/>
      <c r="CN25" s="268"/>
      <c r="CO25" s="269"/>
      <c r="CP25" s="269"/>
      <c r="CQ25" s="269"/>
      <c r="CR25" s="269"/>
      <c r="CS25" s="269"/>
      <c r="CT25" s="269"/>
      <c r="CU25" s="270"/>
      <c r="CV25" s="268"/>
      <c r="CW25" s="269"/>
      <c r="CX25" s="269"/>
      <c r="CY25" s="269"/>
      <c r="CZ25" s="269"/>
      <c r="DA25" s="269"/>
      <c r="DB25" s="269"/>
      <c r="DC25" s="270"/>
      <c r="DD25" s="268"/>
      <c r="DE25" s="269"/>
      <c r="DF25" s="269"/>
      <c r="DG25" s="269"/>
      <c r="DH25" s="269"/>
      <c r="DI25" s="269"/>
      <c r="DJ25" s="269"/>
      <c r="DK25" s="271"/>
    </row>
    <row r="26" spans="1:117" s="153" customFormat="1" ht="19.5" customHeight="1" x14ac:dyDescent="0.25">
      <c r="A26" s="263"/>
      <c r="B26" s="264"/>
      <c r="C26" s="264"/>
      <c r="D26" s="264"/>
      <c r="E26" s="265"/>
      <c r="F26" s="266"/>
      <c r="G26" s="267" t="s">
        <v>603</v>
      </c>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827" t="s">
        <v>604</v>
      </c>
      <c r="BE26" s="828"/>
      <c r="BF26" s="828"/>
      <c r="BG26" s="828"/>
      <c r="BH26" s="828"/>
      <c r="BI26" s="829"/>
      <c r="BJ26" s="831" t="s">
        <v>46</v>
      </c>
      <c r="BK26" s="828"/>
      <c r="BL26" s="828"/>
      <c r="BM26" s="828"/>
      <c r="BN26" s="828"/>
      <c r="BO26" s="829"/>
      <c r="BP26" s="235"/>
      <c r="BQ26" s="236"/>
      <c r="BR26" s="236"/>
      <c r="BS26" s="236"/>
      <c r="BT26" s="236"/>
      <c r="BU26" s="236"/>
      <c r="BV26" s="236"/>
      <c r="BW26" s="237"/>
      <c r="BX26" s="236"/>
      <c r="BY26" s="236"/>
      <c r="BZ26" s="236"/>
      <c r="CA26" s="236"/>
      <c r="CB26" s="236"/>
      <c r="CC26" s="236"/>
      <c r="CD26" s="236"/>
      <c r="CE26" s="237"/>
      <c r="CF26" s="346">
        <v>0</v>
      </c>
      <c r="CG26" s="347"/>
      <c r="CH26" s="347"/>
      <c r="CI26" s="347"/>
      <c r="CJ26" s="347"/>
      <c r="CK26" s="347"/>
      <c r="CL26" s="347"/>
      <c r="CM26" s="348"/>
      <c r="CN26" s="268"/>
      <c r="CO26" s="269"/>
      <c r="CP26" s="269"/>
      <c r="CQ26" s="269"/>
      <c r="CR26" s="269"/>
      <c r="CS26" s="269"/>
      <c r="CT26" s="269"/>
      <c r="CU26" s="270"/>
      <c r="CV26" s="268"/>
      <c r="CW26" s="269"/>
      <c r="CX26" s="269"/>
      <c r="CY26" s="269"/>
      <c r="CZ26" s="269"/>
      <c r="DA26" s="269"/>
      <c r="DB26" s="269"/>
      <c r="DC26" s="270"/>
      <c r="DD26" s="268"/>
      <c r="DE26" s="269"/>
      <c r="DF26" s="269"/>
      <c r="DG26" s="269"/>
      <c r="DH26" s="269"/>
      <c r="DI26" s="269"/>
      <c r="DJ26" s="269"/>
      <c r="DK26" s="271"/>
    </row>
    <row r="27" spans="1:117" s="153" customFormat="1" ht="15.75" customHeight="1" x14ac:dyDescent="0.2">
      <c r="A27" s="827" t="s">
        <v>506</v>
      </c>
      <c r="B27" s="828"/>
      <c r="C27" s="828"/>
      <c r="D27" s="828"/>
      <c r="E27" s="829"/>
      <c r="F27" s="830" t="s">
        <v>446</v>
      </c>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27" t="s">
        <v>507</v>
      </c>
      <c r="BE27" s="828"/>
      <c r="BF27" s="828"/>
      <c r="BG27" s="828"/>
      <c r="BH27" s="828"/>
      <c r="BI27" s="829"/>
      <c r="BJ27" s="831" t="s">
        <v>46</v>
      </c>
      <c r="BK27" s="828"/>
      <c r="BL27" s="828"/>
      <c r="BM27" s="828"/>
      <c r="BN27" s="828"/>
      <c r="BO27" s="829"/>
      <c r="BP27" s="256"/>
      <c r="BQ27" s="257"/>
      <c r="BR27" s="257"/>
      <c r="BS27" s="257"/>
      <c r="BT27" s="257"/>
      <c r="BU27" s="257"/>
      <c r="BV27" s="257"/>
      <c r="BW27" s="258"/>
      <c r="BX27" s="257"/>
      <c r="BY27" s="257"/>
      <c r="BZ27" s="257"/>
      <c r="CA27" s="257"/>
      <c r="CB27" s="257"/>
      <c r="CC27" s="257"/>
      <c r="CD27" s="257"/>
      <c r="CE27" s="257"/>
      <c r="CF27" s="259"/>
      <c r="CG27" s="260"/>
      <c r="CH27" s="260"/>
      <c r="CI27" s="260"/>
      <c r="CJ27" s="260"/>
      <c r="CK27" s="260"/>
      <c r="CL27" s="260"/>
      <c r="CM27" s="261"/>
      <c r="CN27" s="259"/>
      <c r="CO27" s="260"/>
      <c r="CP27" s="260"/>
      <c r="CQ27" s="260"/>
      <c r="CR27" s="260"/>
      <c r="CS27" s="260"/>
      <c r="CT27" s="260"/>
      <c r="CU27" s="261"/>
      <c r="CV27" s="259"/>
      <c r="CW27" s="260"/>
      <c r="CX27" s="260"/>
      <c r="CY27" s="260"/>
      <c r="CZ27" s="260"/>
      <c r="DA27" s="260"/>
      <c r="DB27" s="260"/>
      <c r="DC27" s="261"/>
      <c r="DD27" s="259"/>
      <c r="DE27" s="260"/>
      <c r="DF27" s="260"/>
      <c r="DG27" s="260"/>
      <c r="DH27" s="260"/>
      <c r="DI27" s="260"/>
      <c r="DJ27" s="260"/>
      <c r="DK27" s="262"/>
    </row>
    <row r="28" spans="1:117" ht="12.75" customHeight="1" x14ac:dyDescent="0.25">
      <c r="A28" s="395" t="s">
        <v>411</v>
      </c>
      <c r="B28" s="396"/>
      <c r="C28" s="396"/>
      <c r="D28" s="396"/>
      <c r="E28" s="654"/>
      <c r="F28" s="689" t="s">
        <v>405</v>
      </c>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1"/>
      <c r="BD28" s="750" t="s">
        <v>412</v>
      </c>
      <c r="BE28" s="751"/>
      <c r="BF28" s="751"/>
      <c r="BG28" s="751"/>
      <c r="BH28" s="751"/>
      <c r="BI28" s="752"/>
      <c r="BJ28" s="759" t="s">
        <v>46</v>
      </c>
      <c r="BK28" s="760"/>
      <c r="BL28" s="760"/>
      <c r="BM28" s="760"/>
      <c r="BN28" s="760"/>
      <c r="BO28" s="761"/>
      <c r="BP28" s="247"/>
      <c r="BQ28" s="248"/>
      <c r="BR28" s="248"/>
      <c r="BS28" s="248"/>
      <c r="BT28" s="248"/>
      <c r="BU28" s="248"/>
      <c r="BV28" s="248"/>
      <c r="BW28" s="249"/>
      <c r="BX28" s="248"/>
      <c r="BY28" s="248"/>
      <c r="BZ28" s="248"/>
      <c r="CA28" s="248"/>
      <c r="CB28" s="248"/>
      <c r="CC28" s="248"/>
      <c r="CD28" s="248"/>
      <c r="CE28" s="248"/>
      <c r="CF28" s="737">
        <f>CF31+CF37+CF45+CF48+CF52</f>
        <v>13406631.209999999</v>
      </c>
      <c r="CG28" s="738"/>
      <c r="CH28" s="738"/>
      <c r="CI28" s="738"/>
      <c r="CJ28" s="738"/>
      <c r="CK28" s="738"/>
      <c r="CL28" s="738"/>
      <c r="CM28" s="768"/>
      <c r="CN28" s="737">
        <f>CN31+CN37+CN45+CN48+CN52</f>
        <v>13836574.800000001</v>
      </c>
      <c r="CO28" s="738"/>
      <c r="CP28" s="738"/>
      <c r="CQ28" s="738"/>
      <c r="CR28" s="738"/>
      <c r="CS28" s="738"/>
      <c r="CT28" s="738"/>
      <c r="CU28" s="768"/>
      <c r="CV28" s="737">
        <f>CV31+CV37+CV45+CV48+CV52</f>
        <v>17473168.09</v>
      </c>
      <c r="CW28" s="738"/>
      <c r="CX28" s="738"/>
      <c r="CY28" s="738"/>
      <c r="CZ28" s="738"/>
      <c r="DA28" s="738"/>
      <c r="DB28" s="738"/>
      <c r="DC28" s="768"/>
      <c r="DD28" s="737">
        <f t="shared" ref="DD28" si="2">DD31+DD37+DD45+DD48+DD52</f>
        <v>0</v>
      </c>
      <c r="DE28" s="738"/>
      <c r="DF28" s="738"/>
      <c r="DG28" s="738"/>
      <c r="DH28" s="738"/>
      <c r="DI28" s="738"/>
      <c r="DJ28" s="738"/>
      <c r="DK28" s="739"/>
      <c r="DL28" s="162"/>
      <c r="DM28" s="162"/>
    </row>
    <row r="29" spans="1:117" ht="12.75" customHeight="1" x14ac:dyDescent="0.25">
      <c r="A29" s="395"/>
      <c r="B29" s="396"/>
      <c r="C29" s="396"/>
      <c r="D29" s="396"/>
      <c r="E29" s="654"/>
      <c r="F29" s="746" t="s">
        <v>413</v>
      </c>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8"/>
      <c r="BD29" s="753"/>
      <c r="BE29" s="754"/>
      <c r="BF29" s="754"/>
      <c r="BG29" s="754"/>
      <c r="BH29" s="754"/>
      <c r="BI29" s="755"/>
      <c r="BJ29" s="762"/>
      <c r="BK29" s="763"/>
      <c r="BL29" s="763"/>
      <c r="BM29" s="763"/>
      <c r="BN29" s="763"/>
      <c r="BO29" s="764"/>
      <c r="BP29" s="250"/>
      <c r="BQ29" s="251"/>
      <c r="BR29" s="251"/>
      <c r="BS29" s="251"/>
      <c r="BT29" s="251"/>
      <c r="BU29" s="251"/>
      <c r="BV29" s="251"/>
      <c r="BW29" s="252"/>
      <c r="BX29" s="251"/>
      <c r="BY29" s="251"/>
      <c r="BZ29" s="251"/>
      <c r="CA29" s="251"/>
      <c r="CB29" s="251"/>
      <c r="CC29" s="251"/>
      <c r="CD29" s="251"/>
      <c r="CE29" s="251"/>
      <c r="CF29" s="740"/>
      <c r="CG29" s="741"/>
      <c r="CH29" s="741"/>
      <c r="CI29" s="741"/>
      <c r="CJ29" s="741"/>
      <c r="CK29" s="741"/>
      <c r="CL29" s="741"/>
      <c r="CM29" s="769"/>
      <c r="CN29" s="740"/>
      <c r="CO29" s="741"/>
      <c r="CP29" s="741"/>
      <c r="CQ29" s="741"/>
      <c r="CR29" s="741"/>
      <c r="CS29" s="741"/>
      <c r="CT29" s="741"/>
      <c r="CU29" s="769"/>
      <c r="CV29" s="740"/>
      <c r="CW29" s="741"/>
      <c r="CX29" s="741"/>
      <c r="CY29" s="741"/>
      <c r="CZ29" s="741"/>
      <c r="DA29" s="741"/>
      <c r="DB29" s="741"/>
      <c r="DC29" s="769"/>
      <c r="DD29" s="740"/>
      <c r="DE29" s="741"/>
      <c r="DF29" s="741"/>
      <c r="DG29" s="741"/>
      <c r="DH29" s="741"/>
      <c r="DI29" s="741"/>
      <c r="DJ29" s="741"/>
      <c r="DK29" s="742"/>
      <c r="DL29" s="162"/>
      <c r="DM29" s="162"/>
    </row>
    <row r="30" spans="1:117" ht="15" customHeight="1" x14ac:dyDescent="0.25">
      <c r="A30" s="395"/>
      <c r="B30" s="396"/>
      <c r="C30" s="396"/>
      <c r="D30" s="396"/>
      <c r="E30" s="654"/>
      <c r="F30" s="749" t="s">
        <v>614</v>
      </c>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56"/>
      <c r="BE30" s="757"/>
      <c r="BF30" s="757"/>
      <c r="BG30" s="757"/>
      <c r="BH30" s="757"/>
      <c r="BI30" s="758"/>
      <c r="BJ30" s="765"/>
      <c r="BK30" s="766"/>
      <c r="BL30" s="766"/>
      <c r="BM30" s="766"/>
      <c r="BN30" s="766"/>
      <c r="BO30" s="767"/>
      <c r="BP30" s="253"/>
      <c r="BQ30" s="254"/>
      <c r="BR30" s="254"/>
      <c r="BS30" s="254"/>
      <c r="BT30" s="254"/>
      <c r="BU30" s="254"/>
      <c r="BV30" s="254"/>
      <c r="BW30" s="255"/>
      <c r="BX30" s="254"/>
      <c r="BY30" s="254"/>
      <c r="BZ30" s="254"/>
      <c r="CA30" s="254"/>
      <c r="CB30" s="254"/>
      <c r="CC30" s="254"/>
      <c r="CD30" s="254"/>
      <c r="CE30" s="254"/>
      <c r="CF30" s="743"/>
      <c r="CG30" s="744"/>
      <c r="CH30" s="744"/>
      <c r="CI30" s="744"/>
      <c r="CJ30" s="744"/>
      <c r="CK30" s="744"/>
      <c r="CL30" s="744"/>
      <c r="CM30" s="770"/>
      <c r="CN30" s="743"/>
      <c r="CO30" s="744"/>
      <c r="CP30" s="744"/>
      <c r="CQ30" s="744"/>
      <c r="CR30" s="744"/>
      <c r="CS30" s="744"/>
      <c r="CT30" s="744"/>
      <c r="CU30" s="770"/>
      <c r="CV30" s="743"/>
      <c r="CW30" s="744"/>
      <c r="CX30" s="744"/>
      <c r="CY30" s="744"/>
      <c r="CZ30" s="744"/>
      <c r="DA30" s="744"/>
      <c r="DB30" s="744"/>
      <c r="DC30" s="770"/>
      <c r="DD30" s="743"/>
      <c r="DE30" s="744"/>
      <c r="DF30" s="744"/>
      <c r="DG30" s="744"/>
      <c r="DH30" s="744"/>
      <c r="DI30" s="744"/>
      <c r="DJ30" s="744"/>
      <c r="DK30" s="745"/>
      <c r="DL30" s="330">
        <f>CF28+CF22-'Раздел 1'!BL124</f>
        <v>0</v>
      </c>
      <c r="DM30" s="162"/>
    </row>
    <row r="31" spans="1:117" ht="16.5" customHeight="1" x14ac:dyDescent="0.25">
      <c r="A31" s="395" t="s">
        <v>414</v>
      </c>
      <c r="B31" s="396"/>
      <c r="C31" s="396"/>
      <c r="D31" s="396"/>
      <c r="E31" s="654"/>
      <c r="F31" s="771" t="s">
        <v>2</v>
      </c>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50" t="s">
        <v>415</v>
      </c>
      <c r="BE31" s="751"/>
      <c r="BF31" s="751"/>
      <c r="BG31" s="751"/>
      <c r="BH31" s="751"/>
      <c r="BI31" s="752"/>
      <c r="BJ31" s="759" t="s">
        <v>46</v>
      </c>
      <c r="BK31" s="760"/>
      <c r="BL31" s="760"/>
      <c r="BM31" s="760"/>
      <c r="BN31" s="760"/>
      <c r="BO31" s="761"/>
      <c r="BP31" s="247"/>
      <c r="BQ31" s="248"/>
      <c r="BR31" s="248"/>
      <c r="BS31" s="248"/>
      <c r="BT31" s="248"/>
      <c r="BU31" s="248"/>
      <c r="BV31" s="248"/>
      <c r="BW31" s="249"/>
      <c r="BX31" s="248"/>
      <c r="BY31" s="248"/>
      <c r="BZ31" s="248"/>
      <c r="CA31" s="248"/>
      <c r="CB31" s="248"/>
      <c r="CC31" s="248"/>
      <c r="CD31" s="248"/>
      <c r="CE31" s="248"/>
      <c r="CF31" s="737">
        <f>CF34</f>
        <v>10120222.35</v>
      </c>
      <c r="CG31" s="738"/>
      <c r="CH31" s="738"/>
      <c r="CI31" s="738"/>
      <c r="CJ31" s="738"/>
      <c r="CK31" s="738"/>
      <c r="CL31" s="738"/>
      <c r="CM31" s="768"/>
      <c r="CN31" s="737">
        <f>CN34</f>
        <v>10891053</v>
      </c>
      <c r="CO31" s="738"/>
      <c r="CP31" s="738"/>
      <c r="CQ31" s="738"/>
      <c r="CR31" s="738"/>
      <c r="CS31" s="738"/>
      <c r="CT31" s="738"/>
      <c r="CU31" s="768"/>
      <c r="CV31" s="737">
        <f>CV34</f>
        <v>11327601.289999999</v>
      </c>
      <c r="CW31" s="738"/>
      <c r="CX31" s="738"/>
      <c r="CY31" s="738"/>
      <c r="CZ31" s="738"/>
      <c r="DA31" s="738"/>
      <c r="DB31" s="738"/>
      <c r="DC31" s="768"/>
      <c r="DD31" s="737"/>
      <c r="DE31" s="738"/>
      <c r="DF31" s="738"/>
      <c r="DG31" s="738"/>
      <c r="DH31" s="738"/>
      <c r="DI31" s="738"/>
      <c r="DJ31" s="738"/>
      <c r="DK31" s="739"/>
      <c r="DL31" s="162"/>
      <c r="DM31" s="162"/>
    </row>
    <row r="32" spans="1:117" ht="19.5" customHeight="1" x14ac:dyDescent="0.25">
      <c r="A32" s="395"/>
      <c r="B32" s="396"/>
      <c r="C32" s="396"/>
      <c r="D32" s="396"/>
      <c r="E32" s="654"/>
      <c r="F32" s="772" t="s">
        <v>416</v>
      </c>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53"/>
      <c r="BE32" s="754"/>
      <c r="BF32" s="754"/>
      <c r="BG32" s="754"/>
      <c r="BH32" s="754"/>
      <c r="BI32" s="755"/>
      <c r="BJ32" s="762"/>
      <c r="BK32" s="763"/>
      <c r="BL32" s="763"/>
      <c r="BM32" s="763"/>
      <c r="BN32" s="763"/>
      <c r="BO32" s="764"/>
      <c r="BP32" s="250"/>
      <c r="BQ32" s="251"/>
      <c r="BR32" s="251"/>
      <c r="BS32" s="251"/>
      <c r="BT32" s="251"/>
      <c r="BU32" s="251"/>
      <c r="BV32" s="251"/>
      <c r="BW32" s="252"/>
      <c r="BX32" s="251"/>
      <c r="BY32" s="251"/>
      <c r="BZ32" s="251"/>
      <c r="CA32" s="251"/>
      <c r="CB32" s="251"/>
      <c r="CC32" s="251"/>
      <c r="CD32" s="251"/>
      <c r="CE32" s="251"/>
      <c r="CF32" s="740"/>
      <c r="CG32" s="741"/>
      <c r="CH32" s="741"/>
      <c r="CI32" s="741"/>
      <c r="CJ32" s="741"/>
      <c r="CK32" s="741"/>
      <c r="CL32" s="741"/>
      <c r="CM32" s="769"/>
      <c r="CN32" s="740"/>
      <c r="CO32" s="741"/>
      <c r="CP32" s="741"/>
      <c r="CQ32" s="741"/>
      <c r="CR32" s="741"/>
      <c r="CS32" s="741"/>
      <c r="CT32" s="741"/>
      <c r="CU32" s="769"/>
      <c r="CV32" s="740"/>
      <c r="CW32" s="741"/>
      <c r="CX32" s="741"/>
      <c r="CY32" s="741"/>
      <c r="CZ32" s="741"/>
      <c r="DA32" s="741"/>
      <c r="DB32" s="741"/>
      <c r="DC32" s="769"/>
      <c r="DD32" s="740"/>
      <c r="DE32" s="741"/>
      <c r="DF32" s="741"/>
      <c r="DG32" s="741"/>
      <c r="DH32" s="741"/>
      <c r="DI32" s="741"/>
      <c r="DJ32" s="741"/>
      <c r="DK32" s="742"/>
      <c r="DL32" s="162"/>
      <c r="DM32" s="162"/>
    </row>
    <row r="33" spans="1:117" ht="15" customHeight="1" x14ac:dyDescent="0.25">
      <c r="A33" s="395"/>
      <c r="B33" s="396"/>
      <c r="C33" s="396"/>
      <c r="D33" s="396"/>
      <c r="E33" s="654"/>
      <c r="F33" s="773" t="s">
        <v>417</v>
      </c>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56"/>
      <c r="BE33" s="757"/>
      <c r="BF33" s="757"/>
      <c r="BG33" s="757"/>
      <c r="BH33" s="757"/>
      <c r="BI33" s="758"/>
      <c r="BJ33" s="765"/>
      <c r="BK33" s="766"/>
      <c r="BL33" s="766"/>
      <c r="BM33" s="766"/>
      <c r="BN33" s="766"/>
      <c r="BO33" s="767"/>
      <c r="BP33" s="253"/>
      <c r="BQ33" s="254"/>
      <c r="BR33" s="254"/>
      <c r="BS33" s="254"/>
      <c r="BT33" s="254"/>
      <c r="BU33" s="254"/>
      <c r="BV33" s="254"/>
      <c r="BW33" s="255"/>
      <c r="BX33" s="254"/>
      <c r="BY33" s="254"/>
      <c r="BZ33" s="254"/>
      <c r="CA33" s="254"/>
      <c r="CB33" s="254"/>
      <c r="CC33" s="254"/>
      <c r="CD33" s="254"/>
      <c r="CE33" s="254"/>
      <c r="CF33" s="743"/>
      <c r="CG33" s="744"/>
      <c r="CH33" s="744"/>
      <c r="CI33" s="744"/>
      <c r="CJ33" s="744"/>
      <c r="CK33" s="744"/>
      <c r="CL33" s="744"/>
      <c r="CM33" s="770"/>
      <c r="CN33" s="743"/>
      <c r="CO33" s="744"/>
      <c r="CP33" s="744"/>
      <c r="CQ33" s="744"/>
      <c r="CR33" s="744"/>
      <c r="CS33" s="744"/>
      <c r="CT33" s="744"/>
      <c r="CU33" s="770"/>
      <c r="CV33" s="743"/>
      <c r="CW33" s="744"/>
      <c r="CX33" s="744"/>
      <c r="CY33" s="744"/>
      <c r="CZ33" s="744"/>
      <c r="DA33" s="744"/>
      <c r="DB33" s="744"/>
      <c r="DC33" s="770"/>
      <c r="DD33" s="743"/>
      <c r="DE33" s="744"/>
      <c r="DF33" s="744"/>
      <c r="DG33" s="744"/>
      <c r="DH33" s="744"/>
      <c r="DI33" s="744"/>
      <c r="DJ33" s="744"/>
      <c r="DK33" s="745"/>
      <c r="DL33" s="162"/>
      <c r="DM33" s="162"/>
    </row>
    <row r="34" spans="1:117" ht="12.75" customHeight="1" x14ac:dyDescent="0.25">
      <c r="A34" s="395" t="s">
        <v>418</v>
      </c>
      <c r="B34" s="396"/>
      <c r="C34" s="396"/>
      <c r="D34" s="396"/>
      <c r="E34" s="654"/>
      <c r="F34" s="780" t="s">
        <v>2</v>
      </c>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0"/>
      <c r="AY34" s="780"/>
      <c r="AZ34" s="780"/>
      <c r="BA34" s="780"/>
      <c r="BB34" s="780"/>
      <c r="BC34" s="780"/>
      <c r="BD34" s="750" t="s">
        <v>419</v>
      </c>
      <c r="BE34" s="751"/>
      <c r="BF34" s="751"/>
      <c r="BG34" s="751"/>
      <c r="BH34" s="751"/>
      <c r="BI34" s="752"/>
      <c r="BJ34" s="759" t="s">
        <v>46</v>
      </c>
      <c r="BK34" s="760"/>
      <c r="BL34" s="760"/>
      <c r="BM34" s="760"/>
      <c r="BN34" s="760"/>
      <c r="BO34" s="761"/>
      <c r="BP34" s="247"/>
      <c r="BQ34" s="248"/>
      <c r="BR34" s="248"/>
      <c r="BS34" s="248"/>
      <c r="BT34" s="248"/>
      <c r="BU34" s="248"/>
      <c r="BV34" s="248"/>
      <c r="BW34" s="249"/>
      <c r="BX34" s="248"/>
      <c r="BY34" s="248"/>
      <c r="BZ34" s="248"/>
      <c r="CA34" s="248"/>
      <c r="CB34" s="248"/>
      <c r="CC34" s="248"/>
      <c r="CD34" s="248"/>
      <c r="CE34" s="248"/>
      <c r="CF34" s="737">
        <f>'ОСТАТКИ МЗ'!F70+'4 (2025)'!F75-CF25</f>
        <v>10120222.35</v>
      </c>
      <c r="CG34" s="738"/>
      <c r="CH34" s="738"/>
      <c r="CI34" s="738"/>
      <c r="CJ34" s="738"/>
      <c r="CK34" s="738"/>
      <c r="CL34" s="738"/>
      <c r="CM34" s="768"/>
      <c r="CN34" s="737">
        <f>'4 (2026)'!F75</f>
        <v>10891053</v>
      </c>
      <c r="CO34" s="738"/>
      <c r="CP34" s="738"/>
      <c r="CQ34" s="738"/>
      <c r="CR34" s="738"/>
      <c r="CS34" s="738"/>
      <c r="CT34" s="738"/>
      <c r="CU34" s="768"/>
      <c r="CV34" s="737">
        <f>'4 (2027)'!F75</f>
        <v>11327601.289999999</v>
      </c>
      <c r="CW34" s="738"/>
      <c r="CX34" s="738"/>
      <c r="CY34" s="738"/>
      <c r="CZ34" s="738"/>
      <c r="DA34" s="738"/>
      <c r="DB34" s="738"/>
      <c r="DC34" s="768"/>
      <c r="DD34" s="737"/>
      <c r="DE34" s="738"/>
      <c r="DF34" s="738"/>
      <c r="DG34" s="738"/>
      <c r="DH34" s="738"/>
      <c r="DI34" s="738"/>
      <c r="DJ34" s="738"/>
      <c r="DK34" s="739"/>
      <c r="DL34" s="162"/>
      <c r="DM34" s="162"/>
    </row>
    <row r="35" spans="1:117" ht="12.75" customHeight="1" x14ac:dyDescent="0.25">
      <c r="A35" s="395"/>
      <c r="B35" s="396"/>
      <c r="C35" s="396"/>
      <c r="D35" s="396"/>
      <c r="E35" s="654"/>
      <c r="F35" s="774" t="s">
        <v>420</v>
      </c>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56"/>
      <c r="BE35" s="757"/>
      <c r="BF35" s="757"/>
      <c r="BG35" s="757"/>
      <c r="BH35" s="757"/>
      <c r="BI35" s="758"/>
      <c r="BJ35" s="765"/>
      <c r="BK35" s="766"/>
      <c r="BL35" s="766"/>
      <c r="BM35" s="766"/>
      <c r="BN35" s="766"/>
      <c r="BO35" s="767"/>
      <c r="BP35" s="253"/>
      <c r="BQ35" s="254"/>
      <c r="BR35" s="254"/>
      <c r="BS35" s="254"/>
      <c r="BT35" s="254"/>
      <c r="BU35" s="254"/>
      <c r="BV35" s="254"/>
      <c r="BW35" s="255"/>
      <c r="BX35" s="254"/>
      <c r="BY35" s="254"/>
      <c r="BZ35" s="254"/>
      <c r="CA35" s="254"/>
      <c r="CB35" s="254"/>
      <c r="CC35" s="254"/>
      <c r="CD35" s="254"/>
      <c r="CE35" s="254"/>
      <c r="CF35" s="743"/>
      <c r="CG35" s="744"/>
      <c r="CH35" s="744"/>
      <c r="CI35" s="744"/>
      <c r="CJ35" s="744"/>
      <c r="CK35" s="744"/>
      <c r="CL35" s="744"/>
      <c r="CM35" s="770"/>
      <c r="CN35" s="743"/>
      <c r="CO35" s="744"/>
      <c r="CP35" s="744"/>
      <c r="CQ35" s="744"/>
      <c r="CR35" s="744"/>
      <c r="CS35" s="744"/>
      <c r="CT35" s="744"/>
      <c r="CU35" s="770"/>
      <c r="CV35" s="743"/>
      <c r="CW35" s="744"/>
      <c r="CX35" s="744"/>
      <c r="CY35" s="744"/>
      <c r="CZ35" s="744"/>
      <c r="DA35" s="744"/>
      <c r="DB35" s="744"/>
      <c r="DC35" s="770"/>
      <c r="DD35" s="743"/>
      <c r="DE35" s="744"/>
      <c r="DF35" s="744"/>
      <c r="DG35" s="744"/>
      <c r="DH35" s="744"/>
      <c r="DI35" s="744"/>
      <c r="DJ35" s="744"/>
      <c r="DK35" s="745"/>
      <c r="DL35" s="162"/>
      <c r="DM35" s="162"/>
    </row>
    <row r="36" spans="1:117" ht="19.5" customHeight="1" x14ac:dyDescent="0.25">
      <c r="A36" s="395" t="s">
        <v>421</v>
      </c>
      <c r="B36" s="396"/>
      <c r="C36" s="396"/>
      <c r="D36" s="396"/>
      <c r="E36" s="654"/>
      <c r="F36" s="775" t="s">
        <v>617</v>
      </c>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776"/>
      <c r="AZ36" s="776"/>
      <c r="BA36" s="776"/>
      <c r="BB36" s="776"/>
      <c r="BC36" s="777"/>
      <c r="BD36" s="778" t="s">
        <v>422</v>
      </c>
      <c r="BE36" s="779"/>
      <c r="BF36" s="779"/>
      <c r="BG36" s="779"/>
      <c r="BH36" s="779"/>
      <c r="BI36" s="779"/>
      <c r="BJ36" s="369" t="s">
        <v>46</v>
      </c>
      <c r="BK36" s="369"/>
      <c r="BL36" s="369"/>
      <c r="BM36" s="369"/>
      <c r="BN36" s="369"/>
      <c r="BO36" s="369"/>
      <c r="BP36" s="675"/>
      <c r="BQ36" s="396"/>
      <c r="BR36" s="396"/>
      <c r="BS36" s="396"/>
      <c r="BT36" s="396"/>
      <c r="BU36" s="396"/>
      <c r="BV36" s="396"/>
      <c r="BW36" s="654"/>
      <c r="BX36" s="766"/>
      <c r="BY36" s="766"/>
      <c r="BZ36" s="766"/>
      <c r="CA36" s="766"/>
      <c r="CB36" s="766"/>
      <c r="CC36" s="766"/>
      <c r="CD36" s="766"/>
      <c r="CE36" s="767"/>
      <c r="CF36" s="673"/>
      <c r="CG36" s="673"/>
      <c r="CH36" s="673"/>
      <c r="CI36" s="673"/>
      <c r="CJ36" s="673"/>
      <c r="CK36" s="673"/>
      <c r="CL36" s="673"/>
      <c r="CM36" s="673"/>
      <c r="CN36" s="416"/>
      <c r="CO36" s="416"/>
      <c r="CP36" s="416"/>
      <c r="CQ36" s="416"/>
      <c r="CR36" s="416"/>
      <c r="CS36" s="416"/>
      <c r="CT36" s="416"/>
      <c r="CU36" s="416"/>
      <c r="CV36" s="416"/>
      <c r="CW36" s="416"/>
      <c r="CX36" s="416"/>
      <c r="CY36" s="416"/>
      <c r="CZ36" s="416"/>
      <c r="DA36" s="416"/>
      <c r="DB36" s="416"/>
      <c r="DC36" s="416"/>
      <c r="DD36" s="416"/>
      <c r="DE36" s="416"/>
      <c r="DF36" s="416"/>
      <c r="DG36" s="416"/>
      <c r="DH36" s="416"/>
      <c r="DI36" s="416"/>
      <c r="DJ36" s="416"/>
      <c r="DK36" s="417"/>
      <c r="DL36" s="162"/>
      <c r="DM36" s="162"/>
    </row>
    <row r="37" spans="1:117" ht="12.75" customHeight="1" x14ac:dyDescent="0.25">
      <c r="A37" s="395" t="s">
        <v>423</v>
      </c>
      <c r="B37" s="396"/>
      <c r="C37" s="396"/>
      <c r="D37" s="396"/>
      <c r="E37" s="654"/>
      <c r="F37" s="771" t="s">
        <v>424</v>
      </c>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50" t="s">
        <v>425</v>
      </c>
      <c r="BE37" s="751"/>
      <c r="BF37" s="751"/>
      <c r="BG37" s="751"/>
      <c r="BH37" s="751"/>
      <c r="BI37" s="752"/>
      <c r="BJ37" s="759" t="s">
        <v>46</v>
      </c>
      <c r="BK37" s="760"/>
      <c r="BL37" s="760"/>
      <c r="BM37" s="760"/>
      <c r="BN37" s="760"/>
      <c r="BO37" s="761"/>
      <c r="BP37" s="247"/>
      <c r="BQ37" s="248"/>
      <c r="BR37" s="248"/>
      <c r="BS37" s="248"/>
      <c r="BT37" s="248"/>
      <c r="BU37" s="248"/>
      <c r="BV37" s="248"/>
      <c r="BW37" s="249"/>
      <c r="BX37" s="248"/>
      <c r="BY37" s="248"/>
      <c r="BZ37" s="248"/>
      <c r="CA37" s="248"/>
      <c r="CB37" s="248"/>
      <c r="CC37" s="248"/>
      <c r="CD37" s="248"/>
      <c r="CE37" s="248"/>
      <c r="CF37" s="737">
        <f>CF39</f>
        <v>2422255.7999999998</v>
      </c>
      <c r="CG37" s="738"/>
      <c r="CH37" s="738"/>
      <c r="CI37" s="738"/>
      <c r="CJ37" s="738"/>
      <c r="CK37" s="738"/>
      <c r="CL37" s="738"/>
      <c r="CM37" s="768"/>
      <c r="CN37" s="737">
        <f>CN39</f>
        <v>2081521.8</v>
      </c>
      <c r="CO37" s="738"/>
      <c r="CP37" s="738"/>
      <c r="CQ37" s="738"/>
      <c r="CR37" s="738"/>
      <c r="CS37" s="738"/>
      <c r="CT37" s="738"/>
      <c r="CU37" s="768"/>
      <c r="CV37" s="737">
        <f>CV39</f>
        <v>5281566.8</v>
      </c>
      <c r="CW37" s="738"/>
      <c r="CX37" s="738"/>
      <c r="CY37" s="738"/>
      <c r="CZ37" s="738"/>
      <c r="DA37" s="738"/>
      <c r="DB37" s="738"/>
      <c r="DC37" s="768"/>
      <c r="DD37" s="737">
        <f t="shared" ref="DD37" si="3">DD39+DD44</f>
        <v>0</v>
      </c>
      <c r="DE37" s="738"/>
      <c r="DF37" s="738"/>
      <c r="DG37" s="738"/>
      <c r="DH37" s="738"/>
      <c r="DI37" s="738"/>
      <c r="DJ37" s="738"/>
      <c r="DK37" s="739"/>
      <c r="DL37" s="162"/>
      <c r="DM37" s="162"/>
    </row>
    <row r="38" spans="1:117" ht="12.75" customHeight="1" x14ac:dyDescent="0.25">
      <c r="A38" s="395"/>
      <c r="B38" s="396"/>
      <c r="C38" s="396"/>
      <c r="D38" s="396"/>
      <c r="E38" s="654"/>
      <c r="F38" s="773" t="s">
        <v>426</v>
      </c>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56"/>
      <c r="BE38" s="757"/>
      <c r="BF38" s="757"/>
      <c r="BG38" s="757"/>
      <c r="BH38" s="757"/>
      <c r="BI38" s="758"/>
      <c r="BJ38" s="765"/>
      <c r="BK38" s="766"/>
      <c r="BL38" s="766"/>
      <c r="BM38" s="766"/>
      <c r="BN38" s="766"/>
      <c r="BO38" s="767"/>
      <c r="BP38" s="253"/>
      <c r="BQ38" s="254"/>
      <c r="BR38" s="254"/>
      <c r="BS38" s="254"/>
      <c r="BT38" s="254"/>
      <c r="BU38" s="254"/>
      <c r="BV38" s="254"/>
      <c r="BW38" s="255"/>
      <c r="BX38" s="254"/>
      <c r="BY38" s="254"/>
      <c r="BZ38" s="254"/>
      <c r="CA38" s="254"/>
      <c r="CB38" s="254"/>
      <c r="CC38" s="254"/>
      <c r="CD38" s="254"/>
      <c r="CE38" s="254"/>
      <c r="CF38" s="743"/>
      <c r="CG38" s="744"/>
      <c r="CH38" s="744"/>
      <c r="CI38" s="744"/>
      <c r="CJ38" s="744"/>
      <c r="CK38" s="744"/>
      <c r="CL38" s="744"/>
      <c r="CM38" s="770"/>
      <c r="CN38" s="743"/>
      <c r="CO38" s="744"/>
      <c r="CP38" s="744"/>
      <c r="CQ38" s="744"/>
      <c r="CR38" s="744"/>
      <c r="CS38" s="744"/>
      <c r="CT38" s="744"/>
      <c r="CU38" s="770"/>
      <c r="CV38" s="743"/>
      <c r="CW38" s="744"/>
      <c r="CX38" s="744"/>
      <c r="CY38" s="744"/>
      <c r="CZ38" s="744"/>
      <c r="DA38" s="744"/>
      <c r="DB38" s="744"/>
      <c r="DC38" s="770"/>
      <c r="DD38" s="743"/>
      <c r="DE38" s="744"/>
      <c r="DF38" s="744"/>
      <c r="DG38" s="744"/>
      <c r="DH38" s="744"/>
      <c r="DI38" s="744"/>
      <c r="DJ38" s="744"/>
      <c r="DK38" s="745"/>
      <c r="DL38" s="162"/>
      <c r="DM38" s="162"/>
    </row>
    <row r="39" spans="1:117" ht="12.75" customHeight="1" x14ac:dyDescent="0.25">
      <c r="A39" s="395" t="s">
        <v>427</v>
      </c>
      <c r="B39" s="396"/>
      <c r="C39" s="396"/>
      <c r="D39" s="396"/>
      <c r="E39" s="654"/>
      <c r="F39" s="780" t="s">
        <v>2</v>
      </c>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0"/>
      <c r="AY39" s="780"/>
      <c r="AZ39" s="780"/>
      <c r="BA39" s="780"/>
      <c r="BB39" s="780"/>
      <c r="BC39" s="780"/>
      <c r="BD39" s="750" t="s">
        <v>428</v>
      </c>
      <c r="BE39" s="751"/>
      <c r="BF39" s="751"/>
      <c r="BG39" s="751"/>
      <c r="BH39" s="751"/>
      <c r="BI39" s="752"/>
      <c r="BJ39" s="759" t="s">
        <v>46</v>
      </c>
      <c r="BK39" s="760"/>
      <c r="BL39" s="760"/>
      <c r="BM39" s="760"/>
      <c r="BN39" s="760"/>
      <c r="BO39" s="761"/>
      <c r="BP39" s="247"/>
      <c r="BQ39" s="248"/>
      <c r="BR39" s="248"/>
      <c r="BS39" s="248"/>
      <c r="BT39" s="248"/>
      <c r="BU39" s="248"/>
      <c r="BV39" s="248"/>
      <c r="BW39" s="249"/>
      <c r="BX39" s="248"/>
      <c r="BY39" s="248"/>
      <c r="BZ39" s="248"/>
      <c r="CA39" s="248"/>
      <c r="CB39" s="248"/>
      <c r="CC39" s="248"/>
      <c r="CD39" s="248"/>
      <c r="CE39" s="248"/>
      <c r="CF39" s="737">
        <f>'5 (2025)'!E39+'5 (2025) пит.'!F73+'4 (2025)'!F76</f>
        <v>2422255.7999999998</v>
      </c>
      <c r="CG39" s="738"/>
      <c r="CH39" s="738"/>
      <c r="CI39" s="738"/>
      <c r="CJ39" s="738"/>
      <c r="CK39" s="738"/>
      <c r="CL39" s="738"/>
      <c r="CM39" s="768"/>
      <c r="CN39" s="737">
        <f>'5 (2026)'!E38+'5 (2026) пит.'!F73+'4 (2026)'!F76</f>
        <v>2081521.8</v>
      </c>
      <c r="CO39" s="738"/>
      <c r="CP39" s="738"/>
      <c r="CQ39" s="738"/>
      <c r="CR39" s="738"/>
      <c r="CS39" s="738"/>
      <c r="CT39" s="738"/>
      <c r="CU39" s="768"/>
      <c r="CV39" s="737">
        <f>'5 (2027)'!E38+'5 (2027) пит.'!F73+'4 (2027)'!F76</f>
        <v>5281566.8</v>
      </c>
      <c r="CW39" s="738"/>
      <c r="CX39" s="738"/>
      <c r="CY39" s="738"/>
      <c r="CZ39" s="738"/>
      <c r="DA39" s="738"/>
      <c r="DB39" s="738"/>
      <c r="DC39" s="768"/>
      <c r="DD39" s="737"/>
      <c r="DE39" s="738"/>
      <c r="DF39" s="738"/>
      <c r="DG39" s="738"/>
      <c r="DH39" s="738"/>
      <c r="DI39" s="738"/>
      <c r="DJ39" s="738"/>
      <c r="DK39" s="739"/>
      <c r="DL39" s="162"/>
      <c r="DM39" s="162"/>
    </row>
    <row r="40" spans="1:117" ht="12.75" customHeight="1" x14ac:dyDescent="0.25">
      <c r="A40" s="395"/>
      <c r="B40" s="396"/>
      <c r="C40" s="396"/>
      <c r="D40" s="396"/>
      <c r="E40" s="654"/>
      <c r="F40" s="774" t="s">
        <v>420</v>
      </c>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4"/>
      <c r="AY40" s="774"/>
      <c r="AZ40" s="774"/>
      <c r="BA40" s="774"/>
      <c r="BB40" s="774"/>
      <c r="BC40" s="774"/>
      <c r="BD40" s="756"/>
      <c r="BE40" s="757"/>
      <c r="BF40" s="757"/>
      <c r="BG40" s="757"/>
      <c r="BH40" s="757"/>
      <c r="BI40" s="758"/>
      <c r="BJ40" s="765"/>
      <c r="BK40" s="766"/>
      <c r="BL40" s="766"/>
      <c r="BM40" s="766"/>
      <c r="BN40" s="766"/>
      <c r="BO40" s="767"/>
      <c r="BP40" s="253"/>
      <c r="BQ40" s="254"/>
      <c r="BR40" s="254"/>
      <c r="BS40" s="254"/>
      <c r="BT40" s="254"/>
      <c r="BU40" s="254"/>
      <c r="BV40" s="254"/>
      <c r="BW40" s="255"/>
      <c r="BX40" s="254"/>
      <c r="BY40" s="254"/>
      <c r="BZ40" s="254"/>
      <c r="CA40" s="254"/>
      <c r="CB40" s="254"/>
      <c r="CC40" s="254"/>
      <c r="CD40" s="254"/>
      <c r="CE40" s="254"/>
      <c r="CF40" s="743"/>
      <c r="CG40" s="744"/>
      <c r="CH40" s="744"/>
      <c r="CI40" s="744"/>
      <c r="CJ40" s="744"/>
      <c r="CK40" s="744"/>
      <c r="CL40" s="744"/>
      <c r="CM40" s="770"/>
      <c r="CN40" s="743"/>
      <c r="CO40" s="744"/>
      <c r="CP40" s="744"/>
      <c r="CQ40" s="744"/>
      <c r="CR40" s="744"/>
      <c r="CS40" s="744"/>
      <c r="CT40" s="744"/>
      <c r="CU40" s="770"/>
      <c r="CV40" s="743"/>
      <c r="CW40" s="744"/>
      <c r="CX40" s="744"/>
      <c r="CY40" s="744"/>
      <c r="CZ40" s="744"/>
      <c r="DA40" s="744"/>
      <c r="DB40" s="744"/>
      <c r="DC40" s="770"/>
      <c r="DD40" s="743"/>
      <c r="DE40" s="744"/>
      <c r="DF40" s="744"/>
      <c r="DG40" s="744"/>
      <c r="DH40" s="744"/>
      <c r="DI40" s="744"/>
      <c r="DJ40" s="744"/>
      <c r="DK40" s="745"/>
      <c r="DL40" s="162"/>
      <c r="DM40" s="162"/>
    </row>
    <row r="41" spans="1:117" s="153" customFormat="1" ht="12.75" hidden="1" customHeight="1" x14ac:dyDescent="0.2">
      <c r="A41" s="263"/>
      <c r="B41" s="264"/>
      <c r="C41" s="264"/>
      <c r="D41" s="264"/>
      <c r="E41" s="265"/>
      <c r="F41" s="267"/>
      <c r="G41" s="267" t="s">
        <v>504</v>
      </c>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827" t="s">
        <v>508</v>
      </c>
      <c r="BE41" s="828"/>
      <c r="BF41" s="828"/>
      <c r="BG41" s="828"/>
      <c r="BH41" s="828"/>
      <c r="BI41" s="829"/>
      <c r="BJ41" s="832" t="s">
        <v>46</v>
      </c>
      <c r="BK41" s="833"/>
      <c r="BL41" s="833"/>
      <c r="BM41" s="833"/>
      <c r="BN41" s="833"/>
      <c r="BO41" s="834"/>
      <c r="BP41" s="272"/>
      <c r="BQ41" s="273"/>
      <c r="BR41" s="273"/>
      <c r="BS41" s="273"/>
      <c r="BT41" s="273"/>
      <c r="BU41" s="273"/>
      <c r="BV41" s="273"/>
      <c r="BW41" s="274"/>
      <c r="BX41" s="835" t="s">
        <v>509</v>
      </c>
      <c r="BY41" s="835"/>
      <c r="BZ41" s="835"/>
      <c r="CA41" s="835"/>
      <c r="CB41" s="835"/>
      <c r="CC41" s="835"/>
      <c r="CD41" s="835"/>
      <c r="CE41" s="836"/>
      <c r="CF41" s="837">
        <f>'[2]5 (2021)'!J14</f>
        <v>4243230.43</v>
      </c>
      <c r="CG41" s="838"/>
      <c r="CH41" s="838"/>
      <c r="CI41" s="838"/>
      <c r="CJ41" s="838"/>
      <c r="CK41" s="838"/>
      <c r="CL41" s="838"/>
      <c r="CM41" s="839"/>
      <c r="CN41" s="837"/>
      <c r="CO41" s="838"/>
      <c r="CP41" s="838"/>
      <c r="CQ41" s="838"/>
      <c r="CR41" s="838"/>
      <c r="CS41" s="838"/>
      <c r="CT41" s="838"/>
      <c r="CU41" s="839"/>
      <c r="CV41" s="837"/>
      <c r="CW41" s="838"/>
      <c r="CX41" s="838"/>
      <c r="CY41" s="838"/>
      <c r="CZ41" s="838"/>
      <c r="DA41" s="838"/>
      <c r="DB41" s="838"/>
      <c r="DC41" s="839"/>
      <c r="DD41" s="259"/>
      <c r="DE41" s="260"/>
      <c r="DF41" s="260"/>
      <c r="DG41" s="260"/>
      <c r="DH41" s="260"/>
      <c r="DI41" s="260"/>
      <c r="DJ41" s="260"/>
      <c r="DK41" s="262"/>
    </row>
    <row r="42" spans="1:117" s="153" customFormat="1" ht="16.5" customHeight="1" x14ac:dyDescent="0.25">
      <c r="A42" s="263"/>
      <c r="B42" s="264"/>
      <c r="C42" s="264"/>
      <c r="D42" s="264"/>
      <c r="E42" s="265"/>
      <c r="F42" s="275"/>
      <c r="G42" s="275" t="s">
        <v>618</v>
      </c>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827" t="s">
        <v>508</v>
      </c>
      <c r="BE42" s="828"/>
      <c r="BF42" s="828"/>
      <c r="BG42" s="828"/>
      <c r="BH42" s="828"/>
      <c r="BI42" s="829"/>
      <c r="BJ42" s="831" t="s">
        <v>46</v>
      </c>
      <c r="BK42" s="828"/>
      <c r="BL42" s="828"/>
      <c r="BM42" s="828"/>
      <c r="BN42" s="828"/>
      <c r="BO42" s="829"/>
      <c r="BP42" s="653"/>
      <c r="BQ42" s="652"/>
      <c r="BR42" s="652"/>
      <c r="BS42" s="652"/>
      <c r="BT42" s="652"/>
      <c r="BU42" s="652"/>
      <c r="BV42" s="652"/>
      <c r="BW42" s="511"/>
      <c r="BX42" s="653"/>
      <c r="BY42" s="652"/>
      <c r="BZ42" s="652"/>
      <c r="CA42" s="652"/>
      <c r="CB42" s="652"/>
      <c r="CC42" s="652"/>
      <c r="CD42" s="652"/>
      <c r="CE42" s="511"/>
      <c r="CF42" s="667"/>
      <c r="CG42" s="668"/>
      <c r="CH42" s="668"/>
      <c r="CI42" s="668"/>
      <c r="CJ42" s="668"/>
      <c r="CK42" s="668"/>
      <c r="CL42" s="668"/>
      <c r="CM42" s="669"/>
      <c r="CN42" s="667"/>
      <c r="CO42" s="668"/>
      <c r="CP42" s="668"/>
      <c r="CQ42" s="668"/>
      <c r="CR42" s="668"/>
      <c r="CS42" s="668"/>
      <c r="CT42" s="668"/>
      <c r="CU42" s="669"/>
      <c r="CV42" s="667"/>
      <c r="CW42" s="668"/>
      <c r="CX42" s="668"/>
      <c r="CY42" s="668"/>
      <c r="CZ42" s="668"/>
      <c r="DA42" s="668"/>
      <c r="DB42" s="668"/>
      <c r="DC42" s="669"/>
      <c r="DD42" s="276"/>
      <c r="DE42" s="277"/>
      <c r="DF42" s="277"/>
      <c r="DG42" s="277"/>
      <c r="DH42" s="277"/>
      <c r="DI42" s="277"/>
      <c r="DJ42" s="277"/>
      <c r="DK42" s="278"/>
    </row>
    <row r="43" spans="1:117" s="153" customFormat="1" ht="18.75" customHeight="1" x14ac:dyDescent="0.25">
      <c r="A43" s="263"/>
      <c r="B43" s="264"/>
      <c r="C43" s="264"/>
      <c r="D43" s="264"/>
      <c r="E43" s="265"/>
      <c r="F43" s="275"/>
      <c r="G43" s="275" t="s">
        <v>618</v>
      </c>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827" t="s">
        <v>510</v>
      </c>
      <c r="BE43" s="828"/>
      <c r="BF43" s="828"/>
      <c r="BG43" s="828"/>
      <c r="BH43" s="828"/>
      <c r="BI43" s="829"/>
      <c r="BJ43" s="831" t="s">
        <v>46</v>
      </c>
      <c r="BK43" s="828"/>
      <c r="BL43" s="828"/>
      <c r="BM43" s="828"/>
      <c r="BN43" s="828"/>
      <c r="BO43" s="829"/>
      <c r="BP43" s="653"/>
      <c r="BQ43" s="652"/>
      <c r="BR43" s="652"/>
      <c r="BS43" s="652"/>
      <c r="BT43" s="652"/>
      <c r="BU43" s="652"/>
      <c r="BV43" s="652"/>
      <c r="BW43" s="511"/>
      <c r="BX43" s="653"/>
      <c r="BY43" s="652"/>
      <c r="BZ43" s="652"/>
      <c r="CA43" s="652"/>
      <c r="CB43" s="652"/>
      <c r="CC43" s="652"/>
      <c r="CD43" s="652"/>
      <c r="CE43" s="511"/>
      <c r="CF43" s="346"/>
      <c r="CG43" s="347"/>
      <c r="CH43" s="347"/>
      <c r="CI43" s="347"/>
      <c r="CJ43" s="347"/>
      <c r="CK43" s="347"/>
      <c r="CL43" s="347"/>
      <c r="CM43" s="348"/>
      <c r="CN43" s="346"/>
      <c r="CO43" s="347"/>
      <c r="CP43" s="347"/>
      <c r="CQ43" s="347"/>
      <c r="CR43" s="347"/>
      <c r="CS43" s="347"/>
      <c r="CT43" s="347"/>
      <c r="CU43" s="348"/>
      <c r="CV43" s="346"/>
      <c r="CW43" s="347"/>
      <c r="CX43" s="347"/>
      <c r="CY43" s="347"/>
      <c r="CZ43" s="347"/>
      <c r="DA43" s="347"/>
      <c r="DB43" s="347"/>
      <c r="DC43" s="348"/>
      <c r="DD43" s="276"/>
      <c r="DE43" s="277"/>
      <c r="DF43" s="277"/>
      <c r="DG43" s="277"/>
      <c r="DH43" s="277"/>
      <c r="DI43" s="277"/>
      <c r="DJ43" s="277"/>
      <c r="DK43" s="278"/>
    </row>
    <row r="44" spans="1:117" ht="20.25" customHeight="1" x14ac:dyDescent="0.25">
      <c r="A44" s="395" t="s">
        <v>429</v>
      </c>
      <c r="B44" s="396"/>
      <c r="C44" s="396"/>
      <c r="D44" s="396"/>
      <c r="E44" s="654"/>
      <c r="F44" s="775" t="s">
        <v>617</v>
      </c>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6"/>
      <c r="AY44" s="776"/>
      <c r="AZ44" s="776"/>
      <c r="BA44" s="776"/>
      <c r="BB44" s="776"/>
      <c r="BC44" s="777"/>
      <c r="BD44" s="778" t="s">
        <v>430</v>
      </c>
      <c r="BE44" s="779"/>
      <c r="BF44" s="779"/>
      <c r="BG44" s="779"/>
      <c r="BH44" s="779"/>
      <c r="BI44" s="779"/>
      <c r="BJ44" s="369" t="s">
        <v>46</v>
      </c>
      <c r="BK44" s="369"/>
      <c r="BL44" s="369"/>
      <c r="BM44" s="369"/>
      <c r="BN44" s="369"/>
      <c r="BO44" s="369"/>
      <c r="BP44" s="675"/>
      <c r="BQ44" s="396"/>
      <c r="BR44" s="396"/>
      <c r="BS44" s="396"/>
      <c r="BT44" s="396"/>
      <c r="BU44" s="396"/>
      <c r="BV44" s="396"/>
      <c r="BW44" s="654"/>
      <c r="BX44" s="396"/>
      <c r="BY44" s="396"/>
      <c r="BZ44" s="396"/>
      <c r="CA44" s="396"/>
      <c r="CB44" s="396"/>
      <c r="CC44" s="396"/>
      <c r="CD44" s="396"/>
      <c r="CE44" s="654"/>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6"/>
      <c r="DH44" s="416"/>
      <c r="DI44" s="416"/>
      <c r="DJ44" s="416"/>
      <c r="DK44" s="417"/>
      <c r="DL44" s="162"/>
      <c r="DM44" s="162"/>
    </row>
    <row r="45" spans="1:117" ht="18.75" customHeight="1" x14ac:dyDescent="0.25">
      <c r="A45" s="395" t="s">
        <v>431</v>
      </c>
      <c r="B45" s="396"/>
      <c r="C45" s="396"/>
      <c r="D45" s="396"/>
      <c r="E45" s="654"/>
      <c r="F45" s="781" t="s">
        <v>619</v>
      </c>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2"/>
      <c r="AY45" s="782"/>
      <c r="AZ45" s="782"/>
      <c r="BA45" s="782"/>
      <c r="BB45" s="782"/>
      <c r="BC45" s="783"/>
      <c r="BD45" s="778" t="s">
        <v>432</v>
      </c>
      <c r="BE45" s="779"/>
      <c r="BF45" s="779"/>
      <c r="BG45" s="779"/>
      <c r="BH45" s="779"/>
      <c r="BI45" s="779"/>
      <c r="BJ45" s="369" t="s">
        <v>46</v>
      </c>
      <c r="BK45" s="369"/>
      <c r="BL45" s="369"/>
      <c r="BM45" s="369"/>
      <c r="BN45" s="369"/>
      <c r="BO45" s="369"/>
      <c r="BP45" s="675"/>
      <c r="BQ45" s="396"/>
      <c r="BR45" s="396"/>
      <c r="BS45" s="396"/>
      <c r="BT45" s="396"/>
      <c r="BU45" s="396"/>
      <c r="BV45" s="396"/>
      <c r="BW45" s="654"/>
      <c r="BX45" s="396"/>
      <c r="BY45" s="396"/>
      <c r="BZ45" s="396"/>
      <c r="CA45" s="396"/>
      <c r="CB45" s="396"/>
      <c r="CC45" s="396"/>
      <c r="CD45" s="396"/>
      <c r="CE45" s="654"/>
      <c r="CF45" s="416">
        <v>0</v>
      </c>
      <c r="CG45" s="416"/>
      <c r="CH45" s="416"/>
      <c r="CI45" s="416"/>
      <c r="CJ45" s="416"/>
      <c r="CK45" s="416"/>
      <c r="CL45" s="416"/>
      <c r="CM45" s="416"/>
      <c r="CN45" s="416">
        <f>'[2]Раздел 1'!BU130</f>
        <v>0</v>
      </c>
      <c r="CO45" s="416"/>
      <c r="CP45" s="416"/>
      <c r="CQ45" s="416"/>
      <c r="CR45" s="416"/>
      <c r="CS45" s="416"/>
      <c r="CT45" s="416"/>
      <c r="CU45" s="416"/>
      <c r="CV45" s="416">
        <f>'[2]Раздел 1'!CD130</f>
        <v>0</v>
      </c>
      <c r="CW45" s="416"/>
      <c r="CX45" s="416"/>
      <c r="CY45" s="416"/>
      <c r="CZ45" s="416"/>
      <c r="DA45" s="416"/>
      <c r="DB45" s="416"/>
      <c r="DC45" s="416"/>
      <c r="DD45" s="416"/>
      <c r="DE45" s="416"/>
      <c r="DF45" s="416"/>
      <c r="DG45" s="416"/>
      <c r="DH45" s="416"/>
      <c r="DI45" s="416"/>
      <c r="DJ45" s="416"/>
      <c r="DK45" s="417"/>
      <c r="DL45" s="162"/>
      <c r="DM45" s="162"/>
    </row>
    <row r="46" spans="1:117" s="153" customFormat="1" ht="17.25" customHeight="1" x14ac:dyDescent="0.25">
      <c r="A46" s="263"/>
      <c r="B46" s="264"/>
      <c r="C46" s="264"/>
      <c r="D46" s="264"/>
      <c r="E46" s="265"/>
      <c r="F46" s="267"/>
      <c r="G46" s="267" t="s">
        <v>605</v>
      </c>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671" t="s">
        <v>511</v>
      </c>
      <c r="BE46" s="672"/>
      <c r="BF46" s="672"/>
      <c r="BG46" s="672"/>
      <c r="BH46" s="672"/>
      <c r="BI46" s="672"/>
      <c r="BJ46" s="672" t="s">
        <v>46</v>
      </c>
      <c r="BK46" s="672"/>
      <c r="BL46" s="672"/>
      <c r="BM46" s="672"/>
      <c r="BN46" s="672"/>
      <c r="BO46" s="672"/>
      <c r="BP46" s="653"/>
      <c r="BQ46" s="652"/>
      <c r="BR46" s="652"/>
      <c r="BS46" s="652"/>
      <c r="BT46" s="652"/>
      <c r="BU46" s="652"/>
      <c r="BV46" s="652"/>
      <c r="BW46" s="511"/>
      <c r="BX46" s="653"/>
      <c r="BY46" s="652"/>
      <c r="BZ46" s="652"/>
      <c r="CA46" s="652"/>
      <c r="CB46" s="652"/>
      <c r="CC46" s="652"/>
      <c r="CD46" s="652"/>
      <c r="CE46" s="511"/>
      <c r="CF46" s="341"/>
      <c r="CG46" s="341"/>
      <c r="CH46" s="341"/>
      <c r="CI46" s="341"/>
      <c r="CJ46" s="341"/>
      <c r="CK46" s="341"/>
      <c r="CL46" s="341"/>
      <c r="CM46" s="341"/>
      <c r="CN46" s="341"/>
      <c r="CO46" s="341"/>
      <c r="CP46" s="341"/>
      <c r="CQ46" s="341"/>
      <c r="CR46" s="341"/>
      <c r="CS46" s="341"/>
      <c r="CT46" s="341"/>
      <c r="CU46" s="341"/>
      <c r="CV46" s="341"/>
      <c r="CW46" s="341"/>
      <c r="CX46" s="341"/>
      <c r="CY46" s="341"/>
      <c r="CZ46" s="341"/>
      <c r="DA46" s="341"/>
      <c r="DB46" s="341"/>
      <c r="DC46" s="341"/>
      <c r="DD46" s="341"/>
      <c r="DE46" s="341"/>
      <c r="DF46" s="341"/>
      <c r="DG46" s="341"/>
      <c r="DH46" s="341"/>
      <c r="DI46" s="341"/>
      <c r="DJ46" s="341"/>
      <c r="DK46" s="670"/>
    </row>
    <row r="47" spans="1:117" s="153" customFormat="1" ht="17.25" customHeight="1" x14ac:dyDescent="0.25">
      <c r="A47" s="263"/>
      <c r="B47" s="264"/>
      <c r="C47" s="264"/>
      <c r="D47" s="264"/>
      <c r="E47" s="265"/>
      <c r="F47" s="267"/>
      <c r="G47" s="267" t="s">
        <v>606</v>
      </c>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671" t="s">
        <v>607</v>
      </c>
      <c r="BE47" s="672"/>
      <c r="BF47" s="672"/>
      <c r="BG47" s="672"/>
      <c r="BH47" s="672"/>
      <c r="BI47" s="672"/>
      <c r="BJ47" s="672" t="s">
        <v>46</v>
      </c>
      <c r="BK47" s="672"/>
      <c r="BL47" s="672"/>
      <c r="BM47" s="672"/>
      <c r="BN47" s="672"/>
      <c r="BO47" s="672"/>
      <c r="BP47" s="653"/>
      <c r="BQ47" s="652"/>
      <c r="BR47" s="652"/>
      <c r="BS47" s="652"/>
      <c r="BT47" s="652"/>
      <c r="BU47" s="652"/>
      <c r="BV47" s="652"/>
      <c r="BW47" s="511"/>
      <c r="BX47" s="653"/>
      <c r="BY47" s="652"/>
      <c r="BZ47" s="652"/>
      <c r="CA47" s="652"/>
      <c r="CB47" s="652"/>
      <c r="CC47" s="652"/>
      <c r="CD47" s="652"/>
      <c r="CE47" s="511"/>
      <c r="CF47" s="341"/>
      <c r="CG47" s="341"/>
      <c r="CH47" s="341"/>
      <c r="CI47" s="341"/>
      <c r="CJ47" s="341"/>
      <c r="CK47" s="341"/>
      <c r="CL47" s="341"/>
      <c r="CM47" s="341"/>
      <c r="CN47" s="341"/>
      <c r="CO47" s="341"/>
      <c r="CP47" s="341"/>
      <c r="CQ47" s="341"/>
      <c r="CR47" s="341"/>
      <c r="CS47" s="341"/>
      <c r="CT47" s="341"/>
      <c r="CU47" s="341"/>
      <c r="CV47" s="341"/>
      <c r="CW47" s="341"/>
      <c r="CX47" s="341"/>
      <c r="CY47" s="341"/>
      <c r="CZ47" s="341"/>
      <c r="DA47" s="341"/>
      <c r="DB47" s="341"/>
      <c r="DC47" s="341"/>
      <c r="DD47" s="341"/>
      <c r="DE47" s="341"/>
      <c r="DF47" s="341"/>
      <c r="DG47" s="341"/>
      <c r="DH47" s="341"/>
      <c r="DI47" s="341"/>
      <c r="DJ47" s="341"/>
      <c r="DK47" s="670"/>
    </row>
    <row r="48" spans="1:117" ht="15" customHeight="1" x14ac:dyDescent="0.25">
      <c r="A48" s="395" t="s">
        <v>433</v>
      </c>
      <c r="B48" s="396"/>
      <c r="C48" s="396"/>
      <c r="D48" s="396"/>
      <c r="E48" s="654"/>
      <c r="F48" s="781" t="s">
        <v>434</v>
      </c>
      <c r="G48" s="782"/>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2"/>
      <c r="AM48" s="782"/>
      <c r="AN48" s="782"/>
      <c r="AO48" s="782"/>
      <c r="AP48" s="782"/>
      <c r="AQ48" s="782"/>
      <c r="AR48" s="782"/>
      <c r="AS48" s="782"/>
      <c r="AT48" s="782"/>
      <c r="AU48" s="782"/>
      <c r="AV48" s="782"/>
      <c r="AW48" s="782"/>
      <c r="AX48" s="782"/>
      <c r="AY48" s="782"/>
      <c r="AZ48" s="782"/>
      <c r="BA48" s="782"/>
      <c r="BB48" s="782"/>
      <c r="BC48" s="783"/>
      <c r="BD48" s="778" t="s">
        <v>435</v>
      </c>
      <c r="BE48" s="779"/>
      <c r="BF48" s="779"/>
      <c r="BG48" s="779"/>
      <c r="BH48" s="779"/>
      <c r="BI48" s="779"/>
      <c r="BJ48" s="674" t="s">
        <v>46</v>
      </c>
      <c r="BK48" s="674"/>
      <c r="BL48" s="674"/>
      <c r="BM48" s="674"/>
      <c r="BN48" s="674"/>
      <c r="BO48" s="674"/>
      <c r="BP48" s="675"/>
      <c r="BQ48" s="396"/>
      <c r="BR48" s="396"/>
      <c r="BS48" s="396"/>
      <c r="BT48" s="396"/>
      <c r="BU48" s="396"/>
      <c r="BV48" s="396"/>
      <c r="BW48" s="654"/>
      <c r="BX48" s="766"/>
      <c r="BY48" s="766"/>
      <c r="BZ48" s="766"/>
      <c r="CA48" s="766"/>
      <c r="CB48" s="766"/>
      <c r="CC48" s="766"/>
      <c r="CD48" s="766"/>
      <c r="CE48" s="767"/>
      <c r="CF48" s="673">
        <f>CF49+CF51</f>
        <v>0</v>
      </c>
      <c r="CG48" s="673"/>
      <c r="CH48" s="673"/>
      <c r="CI48" s="673"/>
      <c r="CJ48" s="673"/>
      <c r="CK48" s="673"/>
      <c r="CL48" s="673"/>
      <c r="CM48" s="673"/>
      <c r="CN48" s="416">
        <f t="shared" ref="CN48" si="4">CN49+CN51</f>
        <v>0</v>
      </c>
      <c r="CO48" s="416"/>
      <c r="CP48" s="416"/>
      <c r="CQ48" s="416"/>
      <c r="CR48" s="416"/>
      <c r="CS48" s="416"/>
      <c r="CT48" s="416"/>
      <c r="CU48" s="416"/>
      <c r="CV48" s="416">
        <f t="shared" ref="CV48" si="5">CV49+CV51</f>
        <v>0</v>
      </c>
      <c r="CW48" s="416"/>
      <c r="CX48" s="416"/>
      <c r="CY48" s="416"/>
      <c r="CZ48" s="416"/>
      <c r="DA48" s="416"/>
      <c r="DB48" s="416"/>
      <c r="DC48" s="416"/>
      <c r="DD48" s="416">
        <f t="shared" ref="DD48" si="6">DD49+DD51</f>
        <v>0</v>
      </c>
      <c r="DE48" s="416"/>
      <c r="DF48" s="416"/>
      <c r="DG48" s="416"/>
      <c r="DH48" s="416"/>
      <c r="DI48" s="416"/>
      <c r="DJ48" s="416"/>
      <c r="DK48" s="417"/>
      <c r="DL48" s="162"/>
      <c r="DM48" s="162"/>
    </row>
    <row r="49" spans="1:117" ht="12.75" customHeight="1" x14ac:dyDescent="0.25">
      <c r="A49" s="784" t="s">
        <v>436</v>
      </c>
      <c r="B49" s="766"/>
      <c r="C49" s="766"/>
      <c r="D49" s="766"/>
      <c r="E49" s="767"/>
      <c r="F49" s="785" t="s">
        <v>2</v>
      </c>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5"/>
      <c r="AY49" s="785"/>
      <c r="AZ49" s="785"/>
      <c r="BA49" s="785"/>
      <c r="BB49" s="785"/>
      <c r="BC49" s="786"/>
      <c r="BD49" s="750" t="s">
        <v>437</v>
      </c>
      <c r="BE49" s="751"/>
      <c r="BF49" s="751"/>
      <c r="BG49" s="751"/>
      <c r="BH49" s="751"/>
      <c r="BI49" s="752"/>
      <c r="BJ49" s="759" t="s">
        <v>46</v>
      </c>
      <c r="BK49" s="760"/>
      <c r="BL49" s="760"/>
      <c r="BM49" s="760"/>
      <c r="BN49" s="760"/>
      <c r="BO49" s="761"/>
      <c r="BP49" s="247"/>
      <c r="BQ49" s="248"/>
      <c r="BR49" s="248"/>
      <c r="BS49" s="248"/>
      <c r="BT49" s="248"/>
      <c r="BU49" s="248"/>
      <c r="BV49" s="248"/>
      <c r="BW49" s="249"/>
      <c r="BX49" s="248"/>
      <c r="BY49" s="248"/>
      <c r="BZ49" s="248"/>
      <c r="CA49" s="248"/>
      <c r="CB49" s="248"/>
      <c r="CC49" s="248"/>
      <c r="CD49" s="248"/>
      <c r="CE49" s="248"/>
      <c r="CF49" s="737"/>
      <c r="CG49" s="738"/>
      <c r="CH49" s="738"/>
      <c r="CI49" s="738"/>
      <c r="CJ49" s="738"/>
      <c r="CK49" s="738"/>
      <c r="CL49" s="738"/>
      <c r="CM49" s="768"/>
      <c r="CN49" s="737"/>
      <c r="CO49" s="738"/>
      <c r="CP49" s="738"/>
      <c r="CQ49" s="738"/>
      <c r="CR49" s="738"/>
      <c r="CS49" s="738"/>
      <c r="CT49" s="738"/>
      <c r="CU49" s="768"/>
      <c r="CV49" s="737"/>
      <c r="CW49" s="738"/>
      <c r="CX49" s="738"/>
      <c r="CY49" s="738"/>
      <c r="CZ49" s="738"/>
      <c r="DA49" s="738"/>
      <c r="DB49" s="738"/>
      <c r="DC49" s="768"/>
      <c r="DD49" s="737"/>
      <c r="DE49" s="738"/>
      <c r="DF49" s="738"/>
      <c r="DG49" s="738"/>
      <c r="DH49" s="738"/>
      <c r="DI49" s="738"/>
      <c r="DJ49" s="738"/>
      <c r="DK49" s="739"/>
      <c r="DL49" s="162"/>
      <c r="DM49" s="162"/>
    </row>
    <row r="50" spans="1:117" ht="12.75" customHeight="1" x14ac:dyDescent="0.25">
      <c r="A50" s="395"/>
      <c r="B50" s="396"/>
      <c r="C50" s="396"/>
      <c r="D50" s="396"/>
      <c r="E50" s="654"/>
      <c r="F50" s="774" t="s">
        <v>420</v>
      </c>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c r="AO50" s="774"/>
      <c r="AP50" s="774"/>
      <c r="AQ50" s="774"/>
      <c r="AR50" s="774"/>
      <c r="AS50" s="774"/>
      <c r="AT50" s="774"/>
      <c r="AU50" s="774"/>
      <c r="AV50" s="774"/>
      <c r="AW50" s="774"/>
      <c r="AX50" s="774"/>
      <c r="AY50" s="774"/>
      <c r="AZ50" s="774"/>
      <c r="BA50" s="774"/>
      <c r="BB50" s="774"/>
      <c r="BC50" s="787"/>
      <c r="BD50" s="756"/>
      <c r="BE50" s="757"/>
      <c r="BF50" s="757"/>
      <c r="BG50" s="757"/>
      <c r="BH50" s="757"/>
      <c r="BI50" s="758"/>
      <c r="BJ50" s="765"/>
      <c r="BK50" s="766"/>
      <c r="BL50" s="766"/>
      <c r="BM50" s="766"/>
      <c r="BN50" s="766"/>
      <c r="BO50" s="767"/>
      <c r="BP50" s="253"/>
      <c r="BQ50" s="254"/>
      <c r="BR50" s="254"/>
      <c r="BS50" s="254"/>
      <c r="BT50" s="254"/>
      <c r="BU50" s="254"/>
      <c r="BV50" s="254"/>
      <c r="BW50" s="255"/>
      <c r="BX50" s="254"/>
      <c r="BY50" s="254"/>
      <c r="BZ50" s="254"/>
      <c r="CA50" s="254"/>
      <c r="CB50" s="254"/>
      <c r="CC50" s="254"/>
      <c r="CD50" s="254"/>
      <c r="CE50" s="254"/>
      <c r="CF50" s="743"/>
      <c r="CG50" s="744"/>
      <c r="CH50" s="744"/>
      <c r="CI50" s="744"/>
      <c r="CJ50" s="744"/>
      <c r="CK50" s="744"/>
      <c r="CL50" s="744"/>
      <c r="CM50" s="770"/>
      <c r="CN50" s="743"/>
      <c r="CO50" s="744"/>
      <c r="CP50" s="744"/>
      <c r="CQ50" s="744"/>
      <c r="CR50" s="744"/>
      <c r="CS50" s="744"/>
      <c r="CT50" s="744"/>
      <c r="CU50" s="770"/>
      <c r="CV50" s="743"/>
      <c r="CW50" s="744"/>
      <c r="CX50" s="744"/>
      <c r="CY50" s="744"/>
      <c r="CZ50" s="744"/>
      <c r="DA50" s="744"/>
      <c r="DB50" s="744"/>
      <c r="DC50" s="770"/>
      <c r="DD50" s="743"/>
      <c r="DE50" s="744"/>
      <c r="DF50" s="744"/>
      <c r="DG50" s="744"/>
      <c r="DH50" s="744"/>
      <c r="DI50" s="744"/>
      <c r="DJ50" s="744"/>
      <c r="DK50" s="745"/>
      <c r="DL50" s="162"/>
      <c r="DM50" s="162"/>
    </row>
    <row r="51" spans="1:117" ht="15" customHeight="1" x14ac:dyDescent="0.25">
      <c r="A51" s="395" t="s">
        <v>438</v>
      </c>
      <c r="B51" s="396"/>
      <c r="C51" s="396"/>
      <c r="D51" s="396"/>
      <c r="E51" s="654"/>
      <c r="F51" s="775" t="s">
        <v>617</v>
      </c>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7"/>
      <c r="BD51" s="778" t="s">
        <v>439</v>
      </c>
      <c r="BE51" s="779"/>
      <c r="BF51" s="779"/>
      <c r="BG51" s="779"/>
      <c r="BH51" s="779"/>
      <c r="BI51" s="779"/>
      <c r="BJ51" s="369" t="s">
        <v>46</v>
      </c>
      <c r="BK51" s="369"/>
      <c r="BL51" s="369"/>
      <c r="BM51" s="369"/>
      <c r="BN51" s="369"/>
      <c r="BO51" s="369"/>
      <c r="BP51" s="675"/>
      <c r="BQ51" s="396"/>
      <c r="BR51" s="396"/>
      <c r="BS51" s="396"/>
      <c r="BT51" s="396"/>
      <c r="BU51" s="396"/>
      <c r="BV51" s="396"/>
      <c r="BW51" s="654"/>
      <c r="BX51" s="396"/>
      <c r="BY51" s="396"/>
      <c r="BZ51" s="396"/>
      <c r="CA51" s="396"/>
      <c r="CB51" s="396"/>
      <c r="CC51" s="396"/>
      <c r="CD51" s="396"/>
      <c r="CE51" s="654"/>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c r="DJ51" s="416"/>
      <c r="DK51" s="417"/>
      <c r="DL51" s="162"/>
      <c r="DM51" s="162"/>
    </row>
    <row r="52" spans="1:117" ht="19.5" customHeight="1" x14ac:dyDescent="0.25">
      <c r="A52" s="395" t="s">
        <v>440</v>
      </c>
      <c r="B52" s="396"/>
      <c r="C52" s="396"/>
      <c r="D52" s="396"/>
      <c r="E52" s="654"/>
      <c r="F52" s="781" t="s">
        <v>441</v>
      </c>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2"/>
      <c r="AY52" s="782"/>
      <c r="AZ52" s="782"/>
      <c r="BA52" s="782"/>
      <c r="BB52" s="782"/>
      <c r="BC52" s="783"/>
      <c r="BD52" s="778" t="s">
        <v>442</v>
      </c>
      <c r="BE52" s="779"/>
      <c r="BF52" s="779"/>
      <c r="BG52" s="779"/>
      <c r="BH52" s="779"/>
      <c r="BI52" s="779"/>
      <c r="BJ52" s="369" t="s">
        <v>46</v>
      </c>
      <c r="BK52" s="369"/>
      <c r="BL52" s="369"/>
      <c r="BM52" s="369"/>
      <c r="BN52" s="369"/>
      <c r="BO52" s="369"/>
      <c r="BP52" s="675"/>
      <c r="BQ52" s="396"/>
      <c r="BR52" s="396"/>
      <c r="BS52" s="396"/>
      <c r="BT52" s="396"/>
      <c r="BU52" s="396"/>
      <c r="BV52" s="396"/>
      <c r="BW52" s="654"/>
      <c r="BX52" s="396"/>
      <c r="BY52" s="396"/>
      <c r="BZ52" s="396"/>
      <c r="CA52" s="396"/>
      <c r="CB52" s="396"/>
      <c r="CC52" s="396"/>
      <c r="CD52" s="396"/>
      <c r="CE52" s="654"/>
      <c r="CF52" s="416">
        <f>CF53+CF57</f>
        <v>864153.06</v>
      </c>
      <c r="CG52" s="416"/>
      <c r="CH52" s="416"/>
      <c r="CI52" s="416"/>
      <c r="CJ52" s="416"/>
      <c r="CK52" s="416"/>
      <c r="CL52" s="416"/>
      <c r="CM52" s="416"/>
      <c r="CN52" s="416">
        <f>CN53+CN57</f>
        <v>864000</v>
      </c>
      <c r="CO52" s="416"/>
      <c r="CP52" s="416"/>
      <c r="CQ52" s="416"/>
      <c r="CR52" s="416"/>
      <c r="CS52" s="416"/>
      <c r="CT52" s="416"/>
      <c r="CU52" s="416"/>
      <c r="CV52" s="416">
        <f>CV53+CV57</f>
        <v>864000</v>
      </c>
      <c r="CW52" s="416"/>
      <c r="CX52" s="416"/>
      <c r="CY52" s="416"/>
      <c r="CZ52" s="416"/>
      <c r="DA52" s="416"/>
      <c r="DB52" s="416"/>
      <c r="DC52" s="416"/>
      <c r="DD52" s="416">
        <f t="shared" ref="DD52" si="7">DD53+DD57</f>
        <v>0</v>
      </c>
      <c r="DE52" s="416"/>
      <c r="DF52" s="416"/>
      <c r="DG52" s="416"/>
      <c r="DH52" s="416"/>
      <c r="DI52" s="416"/>
      <c r="DJ52" s="416"/>
      <c r="DK52" s="417"/>
      <c r="DL52" s="162"/>
      <c r="DM52" s="162"/>
    </row>
    <row r="53" spans="1:117" ht="12.75" customHeight="1" x14ac:dyDescent="0.25">
      <c r="A53" s="395" t="s">
        <v>443</v>
      </c>
      <c r="B53" s="396"/>
      <c r="C53" s="396"/>
      <c r="D53" s="396"/>
      <c r="E53" s="654"/>
      <c r="F53" s="780" t="s">
        <v>2</v>
      </c>
      <c r="G53" s="780"/>
      <c r="H53" s="780"/>
      <c r="I53" s="780"/>
      <c r="J53" s="780"/>
      <c r="K53" s="780"/>
      <c r="L53" s="780"/>
      <c r="M53" s="780"/>
      <c r="N53" s="780"/>
      <c r="O53" s="780"/>
      <c r="P53" s="780"/>
      <c r="Q53" s="780"/>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780"/>
      <c r="AY53" s="780"/>
      <c r="AZ53" s="780"/>
      <c r="BA53" s="780"/>
      <c r="BB53" s="780"/>
      <c r="BC53" s="780"/>
      <c r="BD53" s="750" t="s">
        <v>444</v>
      </c>
      <c r="BE53" s="751"/>
      <c r="BF53" s="751"/>
      <c r="BG53" s="751"/>
      <c r="BH53" s="751"/>
      <c r="BI53" s="752"/>
      <c r="BJ53" s="759" t="s">
        <v>46</v>
      </c>
      <c r="BK53" s="760"/>
      <c r="BL53" s="760"/>
      <c r="BM53" s="760"/>
      <c r="BN53" s="760"/>
      <c r="BO53" s="761"/>
      <c r="BP53" s="247"/>
      <c r="BQ53" s="248"/>
      <c r="BR53" s="248"/>
      <c r="BS53" s="248"/>
      <c r="BT53" s="248"/>
      <c r="BU53" s="248"/>
      <c r="BV53" s="248"/>
      <c r="BW53" s="249"/>
      <c r="BX53" s="248"/>
      <c r="BY53" s="248"/>
      <c r="BZ53" s="248"/>
      <c r="CA53" s="248"/>
      <c r="CB53" s="248"/>
      <c r="CC53" s="248"/>
      <c r="CD53" s="248"/>
      <c r="CE53" s="248"/>
      <c r="CF53" s="737">
        <f>'ОСТАТКИ ВБ'!F68+ВБ!F68-CF26</f>
        <v>864153.06</v>
      </c>
      <c r="CG53" s="738"/>
      <c r="CH53" s="738"/>
      <c r="CI53" s="738"/>
      <c r="CJ53" s="738"/>
      <c r="CK53" s="738"/>
      <c r="CL53" s="738"/>
      <c r="CM53" s="768"/>
      <c r="CN53" s="737">
        <f>ВБ!F68</f>
        <v>864000</v>
      </c>
      <c r="CO53" s="738"/>
      <c r="CP53" s="738"/>
      <c r="CQ53" s="738"/>
      <c r="CR53" s="738"/>
      <c r="CS53" s="738"/>
      <c r="CT53" s="738"/>
      <c r="CU53" s="768"/>
      <c r="CV53" s="737">
        <f>ВБ!F68</f>
        <v>864000</v>
      </c>
      <c r="CW53" s="738"/>
      <c r="CX53" s="738"/>
      <c r="CY53" s="738"/>
      <c r="CZ53" s="738"/>
      <c r="DA53" s="738"/>
      <c r="DB53" s="738"/>
      <c r="DC53" s="768"/>
      <c r="DD53" s="737"/>
      <c r="DE53" s="738"/>
      <c r="DF53" s="738"/>
      <c r="DG53" s="738"/>
      <c r="DH53" s="738"/>
      <c r="DI53" s="738"/>
      <c r="DJ53" s="738"/>
      <c r="DK53" s="739"/>
      <c r="DL53" s="162"/>
      <c r="DM53" s="162"/>
    </row>
    <row r="54" spans="1:117" ht="12.75" customHeight="1" x14ac:dyDescent="0.25">
      <c r="A54" s="395"/>
      <c r="B54" s="396"/>
      <c r="C54" s="396"/>
      <c r="D54" s="396"/>
      <c r="E54" s="654"/>
      <c r="F54" s="774" t="s">
        <v>420</v>
      </c>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4"/>
      <c r="AT54" s="774"/>
      <c r="AU54" s="774"/>
      <c r="AV54" s="774"/>
      <c r="AW54" s="774"/>
      <c r="AX54" s="774"/>
      <c r="AY54" s="774"/>
      <c r="AZ54" s="774"/>
      <c r="BA54" s="774"/>
      <c r="BB54" s="774"/>
      <c r="BC54" s="774"/>
      <c r="BD54" s="756"/>
      <c r="BE54" s="757"/>
      <c r="BF54" s="757"/>
      <c r="BG54" s="757"/>
      <c r="BH54" s="757"/>
      <c r="BI54" s="758"/>
      <c r="BJ54" s="765"/>
      <c r="BK54" s="766"/>
      <c r="BL54" s="766"/>
      <c r="BM54" s="766"/>
      <c r="BN54" s="766"/>
      <c r="BO54" s="767"/>
      <c r="BP54" s="253"/>
      <c r="BQ54" s="254"/>
      <c r="BR54" s="254"/>
      <c r="BS54" s="254"/>
      <c r="BT54" s="254"/>
      <c r="BU54" s="254"/>
      <c r="BV54" s="254"/>
      <c r="BW54" s="255"/>
      <c r="BX54" s="254"/>
      <c r="BY54" s="254"/>
      <c r="BZ54" s="254"/>
      <c r="CA54" s="254"/>
      <c r="CB54" s="254"/>
      <c r="CC54" s="254"/>
      <c r="CD54" s="254"/>
      <c r="CE54" s="254"/>
      <c r="CF54" s="743"/>
      <c r="CG54" s="744"/>
      <c r="CH54" s="744"/>
      <c r="CI54" s="744"/>
      <c r="CJ54" s="744"/>
      <c r="CK54" s="744"/>
      <c r="CL54" s="744"/>
      <c r="CM54" s="770"/>
      <c r="CN54" s="743"/>
      <c r="CO54" s="744"/>
      <c r="CP54" s="744"/>
      <c r="CQ54" s="744"/>
      <c r="CR54" s="744"/>
      <c r="CS54" s="744"/>
      <c r="CT54" s="744"/>
      <c r="CU54" s="770"/>
      <c r="CV54" s="743"/>
      <c r="CW54" s="744"/>
      <c r="CX54" s="744"/>
      <c r="CY54" s="744"/>
      <c r="CZ54" s="744"/>
      <c r="DA54" s="744"/>
      <c r="DB54" s="744"/>
      <c r="DC54" s="770"/>
      <c r="DD54" s="743"/>
      <c r="DE54" s="744"/>
      <c r="DF54" s="744"/>
      <c r="DG54" s="744"/>
      <c r="DH54" s="744"/>
      <c r="DI54" s="744"/>
      <c r="DJ54" s="744"/>
      <c r="DK54" s="745"/>
      <c r="DL54" s="162"/>
      <c r="DM54" s="162"/>
    </row>
    <row r="55" spans="1:117" s="153" customFormat="1" ht="17.25" customHeight="1" x14ac:dyDescent="0.25">
      <c r="A55" s="263"/>
      <c r="B55" s="264"/>
      <c r="C55" s="264"/>
      <c r="D55" s="264"/>
      <c r="E55" s="265"/>
      <c r="F55" s="267"/>
      <c r="G55" s="267" t="s">
        <v>605</v>
      </c>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671" t="s">
        <v>512</v>
      </c>
      <c r="BE55" s="672"/>
      <c r="BF55" s="672"/>
      <c r="BG55" s="672"/>
      <c r="BH55" s="672"/>
      <c r="BI55" s="672"/>
      <c r="BJ55" s="672" t="s">
        <v>46</v>
      </c>
      <c r="BK55" s="672"/>
      <c r="BL55" s="672"/>
      <c r="BM55" s="672"/>
      <c r="BN55" s="672"/>
      <c r="BO55" s="672"/>
      <c r="BP55" s="653"/>
      <c r="BQ55" s="652"/>
      <c r="BR55" s="652"/>
      <c r="BS55" s="652"/>
      <c r="BT55" s="652"/>
      <c r="BU55" s="652"/>
      <c r="BV55" s="652"/>
      <c r="BW55" s="511"/>
      <c r="BX55" s="653"/>
      <c r="BY55" s="652"/>
      <c r="BZ55" s="652"/>
      <c r="CA55" s="652"/>
      <c r="CB55" s="652"/>
      <c r="CC55" s="652"/>
      <c r="CD55" s="652"/>
      <c r="CE55" s="51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670"/>
    </row>
    <row r="56" spans="1:117" s="153" customFormat="1" ht="17.25" customHeight="1" x14ac:dyDescent="0.25">
      <c r="A56" s="263"/>
      <c r="B56" s="264"/>
      <c r="C56" s="264"/>
      <c r="D56" s="264"/>
      <c r="E56" s="265"/>
      <c r="F56" s="267"/>
      <c r="G56" s="267" t="s">
        <v>606</v>
      </c>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671" t="s">
        <v>608</v>
      </c>
      <c r="BE56" s="672"/>
      <c r="BF56" s="672"/>
      <c r="BG56" s="672"/>
      <c r="BH56" s="672"/>
      <c r="BI56" s="672"/>
      <c r="BJ56" s="672" t="s">
        <v>46</v>
      </c>
      <c r="BK56" s="672"/>
      <c r="BL56" s="672"/>
      <c r="BM56" s="672"/>
      <c r="BN56" s="672"/>
      <c r="BO56" s="672"/>
      <c r="BP56" s="653"/>
      <c r="BQ56" s="652"/>
      <c r="BR56" s="652"/>
      <c r="BS56" s="652"/>
      <c r="BT56" s="652"/>
      <c r="BU56" s="652"/>
      <c r="BV56" s="652"/>
      <c r="BW56" s="511"/>
      <c r="BX56" s="653"/>
      <c r="BY56" s="652"/>
      <c r="BZ56" s="652"/>
      <c r="CA56" s="652"/>
      <c r="CB56" s="652"/>
      <c r="CC56" s="652"/>
      <c r="CD56" s="652"/>
      <c r="CE56" s="51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670"/>
    </row>
    <row r="57" spans="1:117" ht="15" customHeight="1" x14ac:dyDescent="0.25">
      <c r="A57" s="395" t="s">
        <v>445</v>
      </c>
      <c r="B57" s="396"/>
      <c r="C57" s="396"/>
      <c r="D57" s="396"/>
      <c r="E57" s="654"/>
      <c r="F57" s="775" t="s">
        <v>446</v>
      </c>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6"/>
      <c r="AY57" s="776"/>
      <c r="AZ57" s="776"/>
      <c r="BA57" s="776"/>
      <c r="BB57" s="776"/>
      <c r="BC57" s="777"/>
      <c r="BD57" s="778" t="s">
        <v>447</v>
      </c>
      <c r="BE57" s="779"/>
      <c r="BF57" s="779"/>
      <c r="BG57" s="779"/>
      <c r="BH57" s="779"/>
      <c r="BI57" s="779"/>
      <c r="BJ57" s="369" t="s">
        <v>46</v>
      </c>
      <c r="BK57" s="369"/>
      <c r="BL57" s="369"/>
      <c r="BM57" s="369"/>
      <c r="BN57" s="369"/>
      <c r="BO57" s="369"/>
      <c r="BP57" s="675"/>
      <c r="BQ57" s="396"/>
      <c r="BR57" s="396"/>
      <c r="BS57" s="396"/>
      <c r="BT57" s="396"/>
      <c r="BU57" s="396"/>
      <c r="BV57" s="396"/>
      <c r="BW57" s="654"/>
      <c r="BX57" s="766"/>
      <c r="BY57" s="766"/>
      <c r="BZ57" s="766"/>
      <c r="CA57" s="766"/>
      <c r="CB57" s="766"/>
      <c r="CC57" s="766"/>
      <c r="CD57" s="766"/>
      <c r="CE57" s="767"/>
      <c r="CF57" s="416"/>
      <c r="CG57" s="416"/>
      <c r="CH57" s="416"/>
      <c r="CI57" s="416"/>
      <c r="CJ57" s="416"/>
      <c r="CK57" s="416"/>
      <c r="CL57" s="416"/>
      <c r="CM57" s="416"/>
      <c r="CN57" s="416"/>
      <c r="CO57" s="416"/>
      <c r="CP57" s="416"/>
      <c r="CQ57" s="416"/>
      <c r="CR57" s="416"/>
      <c r="CS57" s="416"/>
      <c r="CT57" s="416"/>
      <c r="CU57" s="416"/>
      <c r="CV57" s="416"/>
      <c r="CW57" s="416"/>
      <c r="CX57" s="416"/>
      <c r="CY57" s="416"/>
      <c r="CZ57" s="416"/>
      <c r="DA57" s="416"/>
      <c r="DB57" s="416"/>
      <c r="DC57" s="416"/>
      <c r="DD57" s="416"/>
      <c r="DE57" s="416"/>
      <c r="DF57" s="416"/>
      <c r="DG57" s="416"/>
      <c r="DH57" s="416"/>
      <c r="DI57" s="416"/>
      <c r="DJ57" s="416"/>
      <c r="DK57" s="417"/>
      <c r="DL57" s="162"/>
      <c r="DM57" s="162"/>
    </row>
    <row r="58" spans="1:117" ht="15" x14ac:dyDescent="0.25">
      <c r="A58" s="395" t="s">
        <v>448</v>
      </c>
      <c r="B58" s="396"/>
      <c r="C58" s="396"/>
      <c r="D58" s="396"/>
      <c r="E58" s="654"/>
      <c r="F58" s="789" t="s">
        <v>449</v>
      </c>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1"/>
      <c r="BD58" s="750" t="s">
        <v>450</v>
      </c>
      <c r="BE58" s="751"/>
      <c r="BF58" s="751"/>
      <c r="BG58" s="751"/>
      <c r="BH58" s="751"/>
      <c r="BI58" s="752"/>
      <c r="BJ58" s="759" t="s">
        <v>46</v>
      </c>
      <c r="BK58" s="760"/>
      <c r="BL58" s="760"/>
      <c r="BM58" s="760"/>
      <c r="BN58" s="760"/>
      <c r="BO58" s="761"/>
      <c r="BP58" s="247"/>
      <c r="BQ58" s="248"/>
      <c r="BR58" s="248"/>
      <c r="BS58" s="248"/>
      <c r="BT58" s="248"/>
      <c r="BU58" s="248"/>
      <c r="BV58" s="248"/>
      <c r="BW58" s="249"/>
      <c r="BX58" s="248"/>
      <c r="BY58" s="248"/>
      <c r="BZ58" s="248"/>
      <c r="CA58" s="248"/>
      <c r="CB58" s="248"/>
      <c r="CC58" s="248"/>
      <c r="CD58" s="248"/>
      <c r="CE58" s="248"/>
      <c r="CF58" s="737">
        <f>CF28</f>
        <v>13406631.209999999</v>
      </c>
      <c r="CG58" s="738"/>
      <c r="CH58" s="738"/>
      <c r="CI58" s="738"/>
      <c r="CJ58" s="738"/>
      <c r="CK58" s="738"/>
      <c r="CL58" s="738"/>
      <c r="CM58" s="768"/>
      <c r="CN58" s="737">
        <f>CN28</f>
        <v>13836574.800000001</v>
      </c>
      <c r="CO58" s="738"/>
      <c r="CP58" s="738"/>
      <c r="CQ58" s="738"/>
      <c r="CR58" s="738"/>
      <c r="CS58" s="738"/>
      <c r="CT58" s="738"/>
      <c r="CU58" s="768"/>
      <c r="CV58" s="737">
        <f>CV28</f>
        <v>17473168.09</v>
      </c>
      <c r="CW58" s="738"/>
      <c r="CX58" s="738"/>
      <c r="CY58" s="738"/>
      <c r="CZ58" s="738"/>
      <c r="DA58" s="738"/>
      <c r="DB58" s="738"/>
      <c r="DC58" s="768"/>
      <c r="DD58" s="737"/>
      <c r="DE58" s="738"/>
      <c r="DF58" s="738"/>
      <c r="DG58" s="738"/>
      <c r="DH58" s="738"/>
      <c r="DI58" s="738"/>
      <c r="DJ58" s="738"/>
      <c r="DK58" s="739"/>
      <c r="DL58" s="162"/>
      <c r="DM58" s="162"/>
    </row>
    <row r="59" spans="1:117" ht="12.75" customHeight="1" x14ac:dyDescent="0.25">
      <c r="A59" s="395"/>
      <c r="B59" s="396"/>
      <c r="C59" s="396"/>
      <c r="D59" s="396"/>
      <c r="E59" s="654"/>
      <c r="F59" s="788" t="s">
        <v>495</v>
      </c>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56"/>
      <c r="BE59" s="757"/>
      <c r="BF59" s="757"/>
      <c r="BG59" s="757"/>
      <c r="BH59" s="757"/>
      <c r="BI59" s="758"/>
      <c r="BJ59" s="765"/>
      <c r="BK59" s="766"/>
      <c r="BL59" s="766"/>
      <c r="BM59" s="766"/>
      <c r="BN59" s="766"/>
      <c r="BO59" s="767"/>
      <c r="BP59" s="253"/>
      <c r="BQ59" s="254"/>
      <c r="BR59" s="254"/>
      <c r="BS59" s="254"/>
      <c r="BT59" s="254"/>
      <c r="BU59" s="254"/>
      <c r="BV59" s="254"/>
      <c r="BW59" s="255"/>
      <c r="BX59" s="254"/>
      <c r="BY59" s="254"/>
      <c r="BZ59" s="254"/>
      <c r="CA59" s="254"/>
      <c r="CB59" s="254"/>
      <c r="CC59" s="254"/>
      <c r="CD59" s="254"/>
      <c r="CE59" s="254"/>
      <c r="CF59" s="743"/>
      <c r="CG59" s="744"/>
      <c r="CH59" s="744"/>
      <c r="CI59" s="744"/>
      <c r="CJ59" s="744"/>
      <c r="CK59" s="744"/>
      <c r="CL59" s="744"/>
      <c r="CM59" s="770"/>
      <c r="CN59" s="743"/>
      <c r="CO59" s="744"/>
      <c r="CP59" s="744"/>
      <c r="CQ59" s="744"/>
      <c r="CR59" s="744"/>
      <c r="CS59" s="744"/>
      <c r="CT59" s="744"/>
      <c r="CU59" s="770"/>
      <c r="CV59" s="743"/>
      <c r="CW59" s="744"/>
      <c r="CX59" s="744"/>
      <c r="CY59" s="744"/>
      <c r="CZ59" s="744"/>
      <c r="DA59" s="744"/>
      <c r="DB59" s="744"/>
      <c r="DC59" s="770"/>
      <c r="DD59" s="743"/>
      <c r="DE59" s="744"/>
      <c r="DF59" s="744"/>
      <c r="DG59" s="744"/>
      <c r="DH59" s="744"/>
      <c r="DI59" s="744"/>
      <c r="DJ59" s="744"/>
      <c r="DK59" s="745"/>
      <c r="DL59" s="162"/>
      <c r="DM59" s="162"/>
    </row>
    <row r="60" spans="1:117" ht="15" x14ac:dyDescent="0.25">
      <c r="A60" s="395"/>
      <c r="B60" s="396"/>
      <c r="C60" s="396"/>
      <c r="D60" s="396"/>
      <c r="E60" s="654"/>
      <c r="F60" s="792" t="s">
        <v>451</v>
      </c>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792"/>
      <c r="AV60" s="792"/>
      <c r="AW60" s="792"/>
      <c r="AX60" s="792"/>
      <c r="AY60" s="792"/>
      <c r="AZ60" s="792"/>
      <c r="BA60" s="792"/>
      <c r="BB60" s="792"/>
      <c r="BC60" s="792"/>
      <c r="BD60" s="750" t="s">
        <v>452</v>
      </c>
      <c r="BE60" s="751"/>
      <c r="BF60" s="751"/>
      <c r="BG60" s="751"/>
      <c r="BH60" s="751"/>
      <c r="BI60" s="752"/>
      <c r="BJ60" s="279"/>
      <c r="BK60" s="280"/>
      <c r="BL60" s="280"/>
      <c r="BM60" s="280"/>
      <c r="BN60" s="280"/>
      <c r="BO60" s="281"/>
      <c r="BP60" s="279"/>
      <c r="BQ60" s="280"/>
      <c r="BR60" s="280"/>
      <c r="BS60" s="280"/>
      <c r="BT60" s="280"/>
      <c r="BU60" s="280"/>
      <c r="BV60" s="280"/>
      <c r="BW60" s="281"/>
      <c r="BX60" s="280"/>
      <c r="BY60" s="280"/>
      <c r="BZ60" s="280"/>
      <c r="CA60" s="280"/>
      <c r="CB60" s="280"/>
      <c r="CC60" s="280"/>
      <c r="CD60" s="280"/>
      <c r="CE60" s="280"/>
      <c r="CF60" s="282"/>
      <c r="CG60" s="283"/>
      <c r="CH60" s="283"/>
      <c r="CI60" s="283"/>
      <c r="CJ60" s="283"/>
      <c r="CK60" s="283"/>
      <c r="CL60" s="283"/>
      <c r="CM60" s="284"/>
      <c r="CN60" s="282"/>
      <c r="CO60" s="283"/>
      <c r="CP60" s="283"/>
      <c r="CQ60" s="283"/>
      <c r="CR60" s="283"/>
      <c r="CS60" s="283"/>
      <c r="CT60" s="283"/>
      <c r="CU60" s="284"/>
      <c r="CV60" s="282"/>
      <c r="CW60" s="283"/>
      <c r="CX60" s="283"/>
      <c r="CY60" s="283"/>
      <c r="CZ60" s="283"/>
      <c r="DA60" s="283"/>
      <c r="DB60" s="283"/>
      <c r="DC60" s="284"/>
      <c r="DD60" s="282"/>
      <c r="DE60" s="283"/>
      <c r="DF60" s="283"/>
      <c r="DG60" s="283"/>
      <c r="DH60" s="283"/>
      <c r="DI60" s="283"/>
      <c r="DJ60" s="283"/>
      <c r="DK60" s="285"/>
      <c r="DL60" s="162"/>
      <c r="DM60" s="162"/>
    </row>
    <row r="61" spans="1:117" ht="18.75" customHeight="1" x14ac:dyDescent="0.25">
      <c r="A61" s="395"/>
      <c r="B61" s="396"/>
      <c r="C61" s="396"/>
      <c r="D61" s="396"/>
      <c r="E61" s="654"/>
      <c r="F61" s="793"/>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5"/>
      <c r="BD61" s="753"/>
      <c r="BE61" s="754"/>
      <c r="BF61" s="754"/>
      <c r="BG61" s="754"/>
      <c r="BH61" s="754"/>
      <c r="BI61" s="755"/>
      <c r="BJ61" s="675" t="s">
        <v>636</v>
      </c>
      <c r="BK61" s="396"/>
      <c r="BL61" s="396"/>
      <c r="BM61" s="396"/>
      <c r="BN61" s="396"/>
      <c r="BO61" s="654"/>
      <c r="BP61" s="286"/>
      <c r="BQ61" s="287"/>
      <c r="BR61" s="287"/>
      <c r="BS61" s="287"/>
      <c r="BT61" s="287"/>
      <c r="BU61" s="287"/>
      <c r="BV61" s="287"/>
      <c r="BW61" s="288"/>
      <c r="BX61" s="287"/>
      <c r="BY61" s="287"/>
      <c r="BZ61" s="287"/>
      <c r="CA61" s="287"/>
      <c r="CB61" s="287"/>
      <c r="CC61" s="287"/>
      <c r="CD61" s="287"/>
      <c r="CE61" s="287"/>
      <c r="CF61" s="798">
        <f>CF9</f>
        <v>14135325.469999999</v>
      </c>
      <c r="CG61" s="799"/>
      <c r="CH61" s="799"/>
      <c r="CI61" s="799"/>
      <c r="CJ61" s="799"/>
      <c r="CK61" s="799"/>
      <c r="CL61" s="799"/>
      <c r="CM61" s="800"/>
      <c r="CN61" s="798"/>
      <c r="CO61" s="799"/>
      <c r="CP61" s="799"/>
      <c r="CQ61" s="799"/>
      <c r="CR61" s="799"/>
      <c r="CS61" s="799"/>
      <c r="CT61" s="799"/>
      <c r="CU61" s="800"/>
      <c r="CV61" s="798"/>
      <c r="CW61" s="799"/>
      <c r="CX61" s="799"/>
      <c r="CY61" s="799"/>
      <c r="CZ61" s="799"/>
      <c r="DA61" s="799"/>
      <c r="DB61" s="799"/>
      <c r="DC61" s="800"/>
      <c r="DD61" s="798"/>
      <c r="DE61" s="799"/>
      <c r="DF61" s="799"/>
      <c r="DG61" s="799"/>
      <c r="DH61" s="799"/>
      <c r="DI61" s="799"/>
      <c r="DJ61" s="799"/>
      <c r="DK61" s="801"/>
      <c r="DL61" s="162"/>
      <c r="DM61" s="162"/>
    </row>
    <row r="62" spans="1:117" ht="19.5" customHeight="1" x14ac:dyDescent="0.25">
      <c r="A62" s="395"/>
      <c r="B62" s="396"/>
      <c r="C62" s="396"/>
      <c r="D62" s="396"/>
      <c r="E62" s="654"/>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753"/>
      <c r="BE62" s="754"/>
      <c r="BF62" s="754"/>
      <c r="BG62" s="754"/>
      <c r="BH62" s="754"/>
      <c r="BI62" s="755"/>
      <c r="BJ62" s="369" t="s">
        <v>678</v>
      </c>
      <c r="BK62" s="369"/>
      <c r="BL62" s="369"/>
      <c r="BM62" s="369"/>
      <c r="BN62" s="369"/>
      <c r="BO62" s="369"/>
      <c r="BP62" s="675"/>
      <c r="BQ62" s="396"/>
      <c r="BR62" s="396"/>
      <c r="BS62" s="396"/>
      <c r="BT62" s="396"/>
      <c r="BU62" s="396"/>
      <c r="BV62" s="396"/>
      <c r="BW62" s="654"/>
      <c r="BX62" s="766"/>
      <c r="BY62" s="766"/>
      <c r="BZ62" s="766"/>
      <c r="CA62" s="766"/>
      <c r="CB62" s="766"/>
      <c r="CC62" s="766"/>
      <c r="CD62" s="766"/>
      <c r="CE62" s="767"/>
      <c r="CF62" s="798"/>
      <c r="CG62" s="799"/>
      <c r="CH62" s="799"/>
      <c r="CI62" s="799"/>
      <c r="CJ62" s="799"/>
      <c r="CK62" s="799"/>
      <c r="CL62" s="799"/>
      <c r="CM62" s="800"/>
      <c r="CN62" s="416">
        <f>CN9</f>
        <v>13836574.800000001</v>
      </c>
      <c r="CO62" s="416"/>
      <c r="CP62" s="416"/>
      <c r="CQ62" s="416"/>
      <c r="CR62" s="416"/>
      <c r="CS62" s="416"/>
      <c r="CT62" s="416"/>
      <c r="CU62" s="416"/>
      <c r="CV62" s="798"/>
      <c r="CW62" s="799"/>
      <c r="CX62" s="799"/>
      <c r="CY62" s="799"/>
      <c r="CZ62" s="799"/>
      <c r="DA62" s="799"/>
      <c r="DB62" s="799"/>
      <c r="DC62" s="800"/>
      <c r="DD62" s="798"/>
      <c r="DE62" s="799"/>
      <c r="DF62" s="799"/>
      <c r="DG62" s="799"/>
      <c r="DH62" s="799"/>
      <c r="DI62" s="799"/>
      <c r="DJ62" s="799"/>
      <c r="DK62" s="801"/>
      <c r="DL62" s="162"/>
      <c r="DM62" s="162"/>
    </row>
    <row r="63" spans="1:117" ht="20.25" customHeight="1" x14ac:dyDescent="0.25">
      <c r="A63" s="395"/>
      <c r="B63" s="396"/>
      <c r="C63" s="396"/>
      <c r="D63" s="396"/>
      <c r="E63" s="654"/>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753"/>
      <c r="BE63" s="754"/>
      <c r="BF63" s="754"/>
      <c r="BG63" s="754"/>
      <c r="BH63" s="754"/>
      <c r="BI63" s="755"/>
      <c r="BJ63" s="762" t="s">
        <v>694</v>
      </c>
      <c r="BK63" s="763"/>
      <c r="BL63" s="763"/>
      <c r="BM63" s="763"/>
      <c r="BN63" s="763"/>
      <c r="BO63" s="764"/>
      <c r="BP63" s="250"/>
      <c r="BQ63" s="251"/>
      <c r="BR63" s="251"/>
      <c r="BS63" s="251"/>
      <c r="BT63" s="251"/>
      <c r="BU63" s="251"/>
      <c r="BV63" s="251"/>
      <c r="BW63" s="252"/>
      <c r="BX63" s="251"/>
      <c r="BY63" s="251"/>
      <c r="BZ63" s="251"/>
      <c r="CA63" s="251"/>
      <c r="CB63" s="251"/>
      <c r="CC63" s="251"/>
      <c r="CD63" s="251"/>
      <c r="CE63" s="251"/>
      <c r="CF63" s="737"/>
      <c r="CG63" s="738"/>
      <c r="CH63" s="738"/>
      <c r="CI63" s="738"/>
      <c r="CJ63" s="738"/>
      <c r="CK63" s="738"/>
      <c r="CL63" s="738"/>
      <c r="CM63" s="768"/>
      <c r="CN63" s="737"/>
      <c r="CO63" s="738"/>
      <c r="CP63" s="738"/>
      <c r="CQ63" s="738"/>
      <c r="CR63" s="738"/>
      <c r="CS63" s="738"/>
      <c r="CT63" s="738"/>
      <c r="CU63" s="768"/>
      <c r="CV63" s="737">
        <f>CV9</f>
        <v>17473168.09</v>
      </c>
      <c r="CW63" s="738"/>
      <c r="CX63" s="738"/>
      <c r="CY63" s="738"/>
      <c r="CZ63" s="738"/>
      <c r="DA63" s="738"/>
      <c r="DB63" s="738"/>
      <c r="DC63" s="768"/>
      <c r="DD63" s="737"/>
      <c r="DE63" s="738"/>
      <c r="DF63" s="738"/>
      <c r="DG63" s="738"/>
      <c r="DH63" s="738"/>
      <c r="DI63" s="738"/>
      <c r="DJ63" s="738"/>
      <c r="DK63" s="739"/>
      <c r="DL63" s="162"/>
      <c r="DM63" s="162"/>
    </row>
    <row r="64" spans="1:117" ht="2.25" customHeight="1" x14ac:dyDescent="0.25">
      <c r="A64" s="395"/>
      <c r="B64" s="396"/>
      <c r="C64" s="396"/>
      <c r="D64" s="396"/>
      <c r="E64" s="654"/>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2"/>
      <c r="AZ64" s="802"/>
      <c r="BA64" s="802"/>
      <c r="BB64" s="802"/>
      <c r="BC64" s="802"/>
      <c r="BD64" s="756"/>
      <c r="BE64" s="757"/>
      <c r="BF64" s="757"/>
      <c r="BG64" s="757"/>
      <c r="BH64" s="757"/>
      <c r="BI64" s="758"/>
      <c r="BJ64" s="290"/>
      <c r="BK64" s="291"/>
      <c r="BL64" s="291"/>
      <c r="BM64" s="291"/>
      <c r="BN64" s="291"/>
      <c r="BO64" s="292"/>
      <c r="BP64" s="290"/>
      <c r="BQ64" s="291"/>
      <c r="BR64" s="291"/>
      <c r="BS64" s="291"/>
      <c r="BT64" s="291"/>
      <c r="BU64" s="291"/>
      <c r="BV64" s="291"/>
      <c r="BW64" s="292"/>
      <c r="BX64" s="291"/>
      <c r="BY64" s="291"/>
      <c r="BZ64" s="291"/>
      <c r="CA64" s="291"/>
      <c r="CB64" s="291"/>
      <c r="CC64" s="291"/>
      <c r="CD64" s="291"/>
      <c r="CE64" s="291"/>
      <c r="CF64" s="293"/>
      <c r="CG64" s="294"/>
      <c r="CH64" s="294"/>
      <c r="CI64" s="294"/>
      <c r="CJ64" s="294"/>
      <c r="CK64" s="294"/>
      <c r="CL64" s="294"/>
      <c r="CM64" s="295"/>
      <c r="CN64" s="293"/>
      <c r="CO64" s="294"/>
      <c r="CP64" s="294"/>
      <c r="CQ64" s="294"/>
      <c r="CR64" s="294"/>
      <c r="CS64" s="294"/>
      <c r="CT64" s="294"/>
      <c r="CU64" s="295"/>
      <c r="CV64" s="293"/>
      <c r="CW64" s="294"/>
      <c r="CX64" s="294"/>
      <c r="CY64" s="294"/>
      <c r="CZ64" s="294"/>
      <c r="DA64" s="294"/>
      <c r="DB64" s="294"/>
      <c r="DC64" s="295"/>
      <c r="DD64" s="293"/>
      <c r="DE64" s="294"/>
      <c r="DF64" s="294"/>
      <c r="DG64" s="294"/>
      <c r="DH64" s="294"/>
      <c r="DI64" s="294"/>
      <c r="DJ64" s="294"/>
      <c r="DK64" s="296"/>
      <c r="DL64" s="162"/>
      <c r="DM64" s="162"/>
    </row>
    <row r="65" spans="1:117" ht="15" x14ac:dyDescent="0.25">
      <c r="A65" s="395" t="s">
        <v>453</v>
      </c>
      <c r="B65" s="396"/>
      <c r="C65" s="396"/>
      <c r="D65" s="396"/>
      <c r="E65" s="654"/>
      <c r="F65" s="789" t="s">
        <v>454</v>
      </c>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1"/>
      <c r="BD65" s="750" t="s">
        <v>455</v>
      </c>
      <c r="BE65" s="751"/>
      <c r="BF65" s="751"/>
      <c r="BG65" s="751"/>
      <c r="BH65" s="751"/>
      <c r="BI65" s="752"/>
      <c r="BJ65" s="759" t="s">
        <v>46</v>
      </c>
      <c r="BK65" s="760"/>
      <c r="BL65" s="760"/>
      <c r="BM65" s="760"/>
      <c r="BN65" s="760"/>
      <c r="BO65" s="761"/>
      <c r="BP65" s="247"/>
      <c r="BQ65" s="248"/>
      <c r="BR65" s="248"/>
      <c r="BS65" s="248"/>
      <c r="BT65" s="248"/>
      <c r="BU65" s="248"/>
      <c r="BV65" s="248"/>
      <c r="BW65" s="249"/>
      <c r="BX65" s="248"/>
      <c r="BY65" s="248"/>
      <c r="BZ65" s="248"/>
      <c r="CA65" s="248"/>
      <c r="CB65" s="248"/>
      <c r="CC65" s="248"/>
      <c r="CD65" s="248"/>
      <c r="CE65" s="248"/>
      <c r="CF65" s="737"/>
      <c r="CG65" s="738"/>
      <c r="CH65" s="738"/>
      <c r="CI65" s="738"/>
      <c r="CJ65" s="738"/>
      <c r="CK65" s="738"/>
      <c r="CL65" s="738"/>
      <c r="CM65" s="768"/>
      <c r="CN65" s="737"/>
      <c r="CO65" s="738"/>
      <c r="CP65" s="738"/>
      <c r="CQ65" s="738"/>
      <c r="CR65" s="738"/>
      <c r="CS65" s="738"/>
      <c r="CT65" s="738"/>
      <c r="CU65" s="768"/>
      <c r="CV65" s="737"/>
      <c r="CW65" s="738"/>
      <c r="CX65" s="738"/>
      <c r="CY65" s="738"/>
      <c r="CZ65" s="738"/>
      <c r="DA65" s="738"/>
      <c r="DB65" s="738"/>
      <c r="DC65" s="768"/>
      <c r="DD65" s="737"/>
      <c r="DE65" s="738"/>
      <c r="DF65" s="738"/>
      <c r="DG65" s="738"/>
      <c r="DH65" s="738"/>
      <c r="DI65" s="738"/>
      <c r="DJ65" s="738"/>
      <c r="DK65" s="739"/>
      <c r="DL65" s="162"/>
      <c r="DM65" s="162"/>
    </row>
    <row r="66" spans="1:117" ht="15" x14ac:dyDescent="0.25">
      <c r="A66" s="395"/>
      <c r="B66" s="396"/>
      <c r="C66" s="396"/>
      <c r="D66" s="396"/>
      <c r="E66" s="654"/>
      <c r="F66" s="788" t="s">
        <v>456</v>
      </c>
      <c r="G66" s="788"/>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8"/>
      <c r="AY66" s="788"/>
      <c r="AZ66" s="788"/>
      <c r="BA66" s="788"/>
      <c r="BB66" s="788"/>
      <c r="BC66" s="788"/>
      <c r="BD66" s="756"/>
      <c r="BE66" s="757"/>
      <c r="BF66" s="757"/>
      <c r="BG66" s="757"/>
      <c r="BH66" s="757"/>
      <c r="BI66" s="758"/>
      <c r="BJ66" s="765"/>
      <c r="BK66" s="766"/>
      <c r="BL66" s="766"/>
      <c r="BM66" s="766"/>
      <c r="BN66" s="766"/>
      <c r="BO66" s="767"/>
      <c r="BP66" s="253"/>
      <c r="BQ66" s="254"/>
      <c r="BR66" s="254"/>
      <c r="BS66" s="254"/>
      <c r="BT66" s="254"/>
      <c r="BU66" s="254"/>
      <c r="BV66" s="254"/>
      <c r="BW66" s="255"/>
      <c r="BX66" s="254"/>
      <c r="BY66" s="254"/>
      <c r="BZ66" s="254"/>
      <c r="CA66" s="254"/>
      <c r="CB66" s="254"/>
      <c r="CC66" s="254"/>
      <c r="CD66" s="254"/>
      <c r="CE66" s="254"/>
      <c r="CF66" s="743"/>
      <c r="CG66" s="744"/>
      <c r="CH66" s="744"/>
      <c r="CI66" s="744"/>
      <c r="CJ66" s="744"/>
      <c r="CK66" s="744"/>
      <c r="CL66" s="744"/>
      <c r="CM66" s="770"/>
      <c r="CN66" s="743"/>
      <c r="CO66" s="744"/>
      <c r="CP66" s="744"/>
      <c r="CQ66" s="744"/>
      <c r="CR66" s="744"/>
      <c r="CS66" s="744"/>
      <c r="CT66" s="744"/>
      <c r="CU66" s="770"/>
      <c r="CV66" s="743"/>
      <c r="CW66" s="744"/>
      <c r="CX66" s="744"/>
      <c r="CY66" s="744"/>
      <c r="CZ66" s="744"/>
      <c r="DA66" s="744"/>
      <c r="DB66" s="744"/>
      <c r="DC66" s="770"/>
      <c r="DD66" s="743"/>
      <c r="DE66" s="744"/>
      <c r="DF66" s="744"/>
      <c r="DG66" s="744"/>
      <c r="DH66" s="744"/>
      <c r="DI66" s="744"/>
      <c r="DJ66" s="744"/>
      <c r="DK66" s="745"/>
      <c r="DL66" s="162"/>
      <c r="DM66" s="162"/>
    </row>
    <row r="67" spans="1:117" ht="15" x14ac:dyDescent="0.25">
      <c r="A67" s="395"/>
      <c r="B67" s="396"/>
      <c r="C67" s="396"/>
      <c r="D67" s="396"/>
      <c r="E67" s="654"/>
      <c r="F67" s="792" t="s">
        <v>451</v>
      </c>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2"/>
      <c r="AY67" s="792"/>
      <c r="AZ67" s="792"/>
      <c r="BA67" s="792"/>
      <c r="BB67" s="792"/>
      <c r="BC67" s="792"/>
      <c r="BD67" s="750" t="s">
        <v>457</v>
      </c>
      <c r="BE67" s="751"/>
      <c r="BF67" s="751"/>
      <c r="BG67" s="751"/>
      <c r="BH67" s="751"/>
      <c r="BI67" s="752"/>
      <c r="BJ67" s="759"/>
      <c r="BK67" s="760"/>
      <c r="BL67" s="760"/>
      <c r="BM67" s="760"/>
      <c r="BN67" s="760"/>
      <c r="BO67" s="761"/>
      <c r="BP67" s="247"/>
      <c r="BQ67" s="248"/>
      <c r="BR67" s="248"/>
      <c r="BS67" s="248"/>
      <c r="BT67" s="248"/>
      <c r="BU67" s="248"/>
      <c r="BV67" s="248"/>
      <c r="BW67" s="249"/>
      <c r="BX67" s="248"/>
      <c r="BY67" s="248"/>
      <c r="BZ67" s="248"/>
      <c r="CA67" s="248"/>
      <c r="CB67" s="248"/>
      <c r="CC67" s="248"/>
      <c r="CD67" s="248"/>
      <c r="CE67" s="248"/>
      <c r="CF67" s="737"/>
      <c r="CG67" s="738"/>
      <c r="CH67" s="738"/>
      <c r="CI67" s="738"/>
      <c r="CJ67" s="738"/>
      <c r="CK67" s="738"/>
      <c r="CL67" s="738"/>
      <c r="CM67" s="768"/>
      <c r="CN67" s="737"/>
      <c r="CO67" s="738"/>
      <c r="CP67" s="738"/>
      <c r="CQ67" s="738"/>
      <c r="CR67" s="738"/>
      <c r="CS67" s="738"/>
      <c r="CT67" s="738"/>
      <c r="CU67" s="768"/>
      <c r="CV67" s="737"/>
      <c r="CW67" s="738"/>
      <c r="CX67" s="738"/>
      <c r="CY67" s="738"/>
      <c r="CZ67" s="738"/>
      <c r="DA67" s="738"/>
      <c r="DB67" s="738"/>
      <c r="DC67" s="768"/>
      <c r="DD67" s="737"/>
      <c r="DE67" s="738"/>
      <c r="DF67" s="738"/>
      <c r="DG67" s="738"/>
      <c r="DH67" s="738"/>
      <c r="DI67" s="738"/>
      <c r="DJ67" s="738"/>
      <c r="DK67" s="739"/>
      <c r="DL67" s="162"/>
      <c r="DM67" s="162"/>
    </row>
    <row r="68" spans="1:117" ht="15.75" thickBot="1" x14ac:dyDescent="0.3">
      <c r="A68" s="808"/>
      <c r="B68" s="809"/>
      <c r="C68" s="809"/>
      <c r="D68" s="809"/>
      <c r="E68" s="810"/>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11"/>
      <c r="BE68" s="812"/>
      <c r="BF68" s="812"/>
      <c r="BG68" s="812"/>
      <c r="BH68" s="812"/>
      <c r="BI68" s="813"/>
      <c r="BJ68" s="814"/>
      <c r="BK68" s="815"/>
      <c r="BL68" s="815"/>
      <c r="BM68" s="815"/>
      <c r="BN68" s="815"/>
      <c r="BO68" s="816"/>
      <c r="BP68" s="297"/>
      <c r="BQ68" s="298"/>
      <c r="BR68" s="298"/>
      <c r="BS68" s="298"/>
      <c r="BT68" s="298"/>
      <c r="BU68" s="298"/>
      <c r="BV68" s="298"/>
      <c r="BW68" s="299"/>
      <c r="BX68" s="298"/>
      <c r="BY68" s="298"/>
      <c r="BZ68" s="298"/>
      <c r="CA68" s="298"/>
      <c r="CB68" s="298"/>
      <c r="CC68" s="298"/>
      <c r="CD68" s="298"/>
      <c r="CE68" s="298"/>
      <c r="CF68" s="817"/>
      <c r="CG68" s="818"/>
      <c r="CH68" s="818"/>
      <c r="CI68" s="818"/>
      <c r="CJ68" s="818"/>
      <c r="CK68" s="818"/>
      <c r="CL68" s="818"/>
      <c r="CM68" s="819"/>
      <c r="CN68" s="817"/>
      <c r="CO68" s="818"/>
      <c r="CP68" s="818"/>
      <c r="CQ68" s="818"/>
      <c r="CR68" s="818"/>
      <c r="CS68" s="818"/>
      <c r="CT68" s="818"/>
      <c r="CU68" s="819"/>
      <c r="CV68" s="817"/>
      <c r="CW68" s="818"/>
      <c r="CX68" s="818"/>
      <c r="CY68" s="818"/>
      <c r="CZ68" s="818"/>
      <c r="DA68" s="818"/>
      <c r="DB68" s="818"/>
      <c r="DC68" s="819"/>
      <c r="DD68" s="817"/>
      <c r="DE68" s="818"/>
      <c r="DF68" s="818"/>
      <c r="DG68" s="818"/>
      <c r="DH68" s="818"/>
      <c r="DI68" s="818"/>
      <c r="DJ68" s="818"/>
      <c r="DK68" s="820"/>
      <c r="DL68" s="162"/>
      <c r="DM68" s="162"/>
    </row>
    <row r="72" spans="1:117" s="103" customFormat="1" ht="15.75" x14ac:dyDescent="0.25">
      <c r="B72" s="103" t="s">
        <v>683</v>
      </c>
      <c r="J72" s="321"/>
      <c r="K72" s="321"/>
      <c r="L72" s="321"/>
      <c r="M72" s="321"/>
      <c r="N72" s="321"/>
      <c r="O72" s="321"/>
      <c r="P72" s="321"/>
      <c r="Q72" s="321"/>
      <c r="R72" s="321"/>
      <c r="S72" s="321"/>
      <c r="T72" s="803"/>
      <c r="U72" s="803"/>
      <c r="V72" s="803"/>
      <c r="W72" s="803"/>
      <c r="X72" s="803"/>
      <c r="Y72" s="803"/>
      <c r="Z72" s="803"/>
      <c r="AA72" s="803"/>
      <c r="AB72" s="803"/>
      <c r="AC72" s="803"/>
      <c r="AD72" s="803"/>
      <c r="AE72" s="803"/>
      <c r="AF72" s="796" t="s">
        <v>684</v>
      </c>
      <c r="AG72" s="796"/>
      <c r="AH72" s="796"/>
      <c r="AI72" s="796"/>
      <c r="AJ72" s="796"/>
      <c r="AK72" s="796"/>
      <c r="AL72" s="796"/>
      <c r="AM72" s="796"/>
      <c r="AN72" s="796"/>
      <c r="AO72" s="796"/>
      <c r="AP72" s="796"/>
      <c r="AQ72" s="796"/>
      <c r="AR72" s="796"/>
      <c r="AS72" s="796"/>
      <c r="AT72" s="796"/>
      <c r="AU72" s="796"/>
      <c r="AV72" s="796"/>
      <c r="AW72" s="796"/>
      <c r="AX72" s="796"/>
      <c r="AY72" s="796"/>
      <c r="AZ72" s="796"/>
      <c r="BB72" s="797" t="s">
        <v>489</v>
      </c>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row>
    <row r="73" spans="1:117" s="103" customFormat="1" ht="15.75" x14ac:dyDescent="0.25">
      <c r="A73" s="218"/>
      <c r="B73" s="218"/>
      <c r="C73" s="218"/>
      <c r="D73" s="218"/>
      <c r="E73" s="218"/>
      <c r="F73" s="218"/>
      <c r="G73" s="218"/>
      <c r="H73" s="218"/>
      <c r="I73" s="218"/>
      <c r="J73" s="301"/>
      <c r="K73" s="301"/>
      <c r="L73" s="301"/>
      <c r="M73" s="301"/>
      <c r="N73" s="301"/>
      <c r="O73" s="301"/>
      <c r="P73" s="301"/>
      <c r="Q73" s="301"/>
      <c r="R73" s="301"/>
      <c r="S73" s="301"/>
      <c r="T73" s="301"/>
      <c r="U73" s="301"/>
      <c r="V73" s="301"/>
      <c r="W73" s="301"/>
      <c r="X73" s="301"/>
      <c r="Y73" s="301"/>
      <c r="Z73" s="301"/>
      <c r="AA73" s="301"/>
      <c r="AB73" s="301"/>
      <c r="AC73" s="301"/>
      <c r="AD73" s="301"/>
      <c r="AE73" s="218"/>
      <c r="AF73" s="804" t="s">
        <v>458</v>
      </c>
      <c r="AG73" s="804"/>
      <c r="AH73" s="804"/>
      <c r="AI73" s="804"/>
      <c r="AJ73" s="804"/>
      <c r="AK73" s="804"/>
      <c r="AL73" s="804"/>
      <c r="AM73" s="804"/>
      <c r="AN73" s="804"/>
      <c r="AO73" s="804"/>
      <c r="AP73" s="804"/>
      <c r="AQ73" s="804"/>
      <c r="AR73" s="804"/>
      <c r="AS73" s="804"/>
      <c r="AT73" s="804"/>
      <c r="AU73" s="804"/>
      <c r="AV73" s="804"/>
      <c r="AW73" s="804"/>
      <c r="AX73" s="804"/>
      <c r="AY73" s="804"/>
      <c r="AZ73" s="804"/>
      <c r="BA73" s="218"/>
      <c r="BB73" s="805" t="s">
        <v>459</v>
      </c>
      <c r="BC73" s="805"/>
      <c r="BD73" s="805"/>
      <c r="BE73" s="805"/>
      <c r="BF73" s="805"/>
      <c r="BG73" s="805"/>
      <c r="BH73" s="805"/>
      <c r="BI73" s="805"/>
      <c r="BJ73" s="805"/>
      <c r="BK73" s="805"/>
      <c r="BL73" s="805"/>
      <c r="BM73" s="805"/>
      <c r="BN73" s="805"/>
      <c r="BO73" s="805"/>
      <c r="BP73" s="805"/>
      <c r="BQ73" s="805"/>
      <c r="BR73" s="805"/>
      <c r="BS73" s="805"/>
      <c r="BT73" s="805"/>
      <c r="BU73" s="805"/>
      <c r="BV73" s="805"/>
      <c r="BW73" s="805"/>
      <c r="BX73" s="805"/>
      <c r="BY73" s="805"/>
      <c r="BZ73" s="805"/>
      <c r="CA73" s="805"/>
      <c r="CB73" s="805"/>
      <c r="CC73" s="805"/>
      <c r="CD73" s="805"/>
      <c r="CE73" s="805"/>
      <c r="CF73" s="805"/>
      <c r="CG73" s="805"/>
      <c r="CH73" s="805"/>
      <c r="CI73" s="805"/>
      <c r="CJ73" s="805"/>
      <c r="CK73" s="805"/>
      <c r="CL73" s="805"/>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row>
    <row r="74" spans="1:117" s="103" customFormat="1" ht="15.75" x14ac:dyDescent="0.25">
      <c r="A74" s="218"/>
      <c r="B74" s="218"/>
      <c r="C74" s="218"/>
      <c r="D74" s="218"/>
      <c r="E74" s="218"/>
      <c r="F74" s="218"/>
      <c r="G74" s="218"/>
      <c r="H74" s="218"/>
      <c r="I74" s="218"/>
      <c r="J74" s="301"/>
      <c r="K74" s="301"/>
      <c r="L74" s="301"/>
      <c r="M74" s="301"/>
      <c r="N74" s="301"/>
      <c r="O74" s="301"/>
      <c r="P74" s="301"/>
      <c r="Q74" s="301"/>
      <c r="R74" s="301"/>
      <c r="S74" s="301"/>
      <c r="T74" s="301"/>
      <c r="U74" s="301"/>
      <c r="V74" s="301"/>
      <c r="W74" s="301"/>
      <c r="X74" s="301"/>
      <c r="Y74" s="301"/>
      <c r="Z74" s="301"/>
      <c r="AA74" s="301"/>
      <c r="AB74" s="301"/>
      <c r="AC74" s="301"/>
      <c r="AD74" s="301"/>
      <c r="AE74" s="218"/>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218"/>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row>
    <row r="75" spans="1:117" s="103" customFormat="1" ht="15.75" x14ac:dyDescent="0.25">
      <c r="A75" s="218"/>
      <c r="B75" s="218" t="s">
        <v>685</v>
      </c>
      <c r="C75" s="218"/>
      <c r="D75" s="218"/>
      <c r="E75" s="218"/>
      <c r="F75" s="218"/>
      <c r="G75" s="218"/>
      <c r="H75" s="218"/>
      <c r="I75" s="218"/>
      <c r="J75" s="300"/>
      <c r="K75" s="300"/>
      <c r="L75" s="300"/>
      <c r="M75" s="300"/>
      <c r="N75" s="300"/>
      <c r="O75" s="300"/>
      <c r="P75" s="300"/>
      <c r="Q75" s="300"/>
      <c r="R75" s="300"/>
      <c r="S75" s="300"/>
      <c r="T75" s="300"/>
      <c r="U75" s="300"/>
      <c r="V75" s="300"/>
      <c r="W75" s="300"/>
      <c r="X75" s="300"/>
      <c r="Y75" s="300"/>
      <c r="Z75" s="300"/>
      <c r="AA75" s="300"/>
      <c r="AB75" s="300"/>
      <c r="AC75" s="300"/>
      <c r="AD75" s="300"/>
      <c r="AE75" s="218"/>
      <c r="AF75" s="806" t="s">
        <v>686</v>
      </c>
      <c r="AG75" s="806"/>
      <c r="AH75" s="806"/>
      <c r="AI75" s="806"/>
      <c r="AJ75" s="806"/>
      <c r="AK75" s="806"/>
      <c r="AL75" s="806"/>
      <c r="AM75" s="806"/>
      <c r="AN75" s="806"/>
      <c r="AO75" s="806"/>
      <c r="AP75" s="806"/>
      <c r="AQ75" s="806"/>
      <c r="AR75" s="806"/>
      <c r="AS75" s="806"/>
      <c r="AT75" s="806"/>
      <c r="AU75" s="806"/>
      <c r="AV75" s="806"/>
      <c r="AW75" s="806"/>
      <c r="AX75" s="806"/>
      <c r="AY75" s="806"/>
      <c r="AZ75" s="806"/>
      <c r="BA75" s="218"/>
      <c r="BB75" s="807" t="s">
        <v>673</v>
      </c>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A75" s="807"/>
      <c r="CB75" s="807"/>
      <c r="CC75" s="807"/>
      <c r="CD75" s="807"/>
      <c r="CE75" s="807"/>
      <c r="CF75" s="807"/>
      <c r="CG75" s="807"/>
      <c r="CH75" s="807"/>
      <c r="CI75" s="807"/>
      <c r="CJ75" s="807"/>
      <c r="CK75" s="807"/>
      <c r="CL75" s="807"/>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row>
    <row r="76" spans="1:117" s="103" customFormat="1" ht="15.75" x14ac:dyDescent="0.25">
      <c r="A76" s="218"/>
      <c r="B76" s="218"/>
      <c r="C76" s="218"/>
      <c r="D76" s="218"/>
      <c r="E76" s="218"/>
      <c r="F76" s="218"/>
      <c r="G76" s="218"/>
      <c r="H76" s="218"/>
      <c r="I76" s="218"/>
      <c r="J76" s="301"/>
      <c r="K76" s="301"/>
      <c r="L76" s="301"/>
      <c r="M76" s="301"/>
      <c r="N76" s="301"/>
      <c r="O76" s="301"/>
      <c r="P76" s="301"/>
      <c r="Q76" s="301"/>
      <c r="R76" s="301"/>
      <c r="S76" s="301"/>
      <c r="T76" s="301"/>
      <c r="U76" s="301"/>
      <c r="V76" s="301"/>
      <c r="W76" s="301"/>
      <c r="X76" s="301"/>
      <c r="Y76" s="301"/>
      <c r="Z76" s="301"/>
      <c r="AA76" s="301"/>
      <c r="AB76" s="301"/>
      <c r="AC76" s="301"/>
      <c r="AD76" s="301"/>
      <c r="AE76" s="218"/>
      <c r="AF76" s="804" t="s">
        <v>458</v>
      </c>
      <c r="AG76" s="804"/>
      <c r="AH76" s="804"/>
      <c r="AI76" s="804"/>
      <c r="AJ76" s="804"/>
      <c r="AK76" s="804"/>
      <c r="AL76" s="804"/>
      <c r="AM76" s="804"/>
      <c r="AN76" s="804"/>
      <c r="AO76" s="804"/>
      <c r="AP76" s="804"/>
      <c r="AQ76" s="804"/>
      <c r="AR76" s="804"/>
      <c r="AS76" s="804"/>
      <c r="AT76" s="804"/>
      <c r="AU76" s="804"/>
      <c r="AV76" s="804"/>
      <c r="AW76" s="804"/>
      <c r="AX76" s="804"/>
      <c r="AY76" s="804"/>
      <c r="AZ76" s="804"/>
      <c r="BA76" s="218"/>
      <c r="BB76" s="805" t="s">
        <v>459</v>
      </c>
      <c r="BC76" s="805"/>
      <c r="BD76" s="805"/>
      <c r="BE76" s="805"/>
      <c r="BF76" s="805"/>
      <c r="BG76" s="805"/>
      <c r="BH76" s="805"/>
      <c r="BI76" s="805"/>
      <c r="BJ76" s="805"/>
      <c r="BK76" s="805"/>
      <c r="BL76" s="805"/>
      <c r="BM76" s="805"/>
      <c r="BN76" s="805"/>
      <c r="BO76" s="805"/>
      <c r="BP76" s="805"/>
      <c r="BQ76" s="805"/>
      <c r="BR76" s="805"/>
      <c r="BS76" s="805"/>
      <c r="BT76" s="805"/>
      <c r="BU76" s="805"/>
      <c r="BV76" s="805"/>
      <c r="BW76" s="805"/>
      <c r="BX76" s="805"/>
      <c r="BY76" s="805"/>
      <c r="BZ76" s="805"/>
      <c r="CA76" s="805"/>
      <c r="CB76" s="805"/>
      <c r="CC76" s="805"/>
      <c r="CD76" s="805"/>
      <c r="CE76" s="805"/>
      <c r="CF76" s="805"/>
      <c r="CG76" s="805"/>
      <c r="CH76" s="805"/>
      <c r="CI76" s="805"/>
      <c r="CJ76" s="805"/>
      <c r="CK76" s="805"/>
      <c r="CL76" s="805"/>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row>
    <row r="77" spans="1:117" s="103" customFormat="1" ht="5.0999999999999996" customHeight="1" x14ac:dyDescent="0.25">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8"/>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row>
    <row r="78" spans="1:117" s="103" customFormat="1" ht="15.75" x14ac:dyDescent="0.25">
      <c r="A78" s="218" t="s">
        <v>460</v>
      </c>
      <c r="B78" s="218"/>
      <c r="C78" s="218"/>
      <c r="D78" s="218"/>
      <c r="E78" s="218"/>
      <c r="F78" s="218"/>
      <c r="G78" s="218"/>
      <c r="H78" s="218"/>
      <c r="I78" s="218"/>
      <c r="J78" s="353" t="s">
        <v>672</v>
      </c>
      <c r="K78" s="353"/>
      <c r="L78" s="353"/>
      <c r="M78" s="353"/>
      <c r="N78" s="353"/>
      <c r="O78" s="353"/>
      <c r="P78" s="353"/>
      <c r="Q78" s="353"/>
      <c r="R78" s="353"/>
      <c r="S78" s="353"/>
      <c r="T78" s="353"/>
      <c r="U78" s="353"/>
      <c r="V78" s="353"/>
      <c r="W78" s="353"/>
      <c r="X78" s="353"/>
      <c r="Y78" s="353"/>
      <c r="Z78" s="353"/>
      <c r="AA78" s="353"/>
      <c r="AB78" s="353"/>
      <c r="AC78" s="353"/>
      <c r="AD78" s="353"/>
      <c r="AE78" s="218"/>
      <c r="AF78" s="806" t="s">
        <v>676</v>
      </c>
      <c r="AG78" s="806"/>
      <c r="AH78" s="806"/>
      <c r="AI78" s="806"/>
      <c r="AJ78" s="806"/>
      <c r="AK78" s="806"/>
      <c r="AL78" s="806"/>
      <c r="AM78" s="806"/>
      <c r="AN78" s="806"/>
      <c r="AO78" s="806"/>
      <c r="AP78" s="806"/>
      <c r="AQ78" s="806"/>
      <c r="AR78" s="806"/>
      <c r="AS78" s="806"/>
      <c r="AT78" s="806"/>
      <c r="AU78" s="806"/>
      <c r="AV78" s="806"/>
      <c r="AW78" s="806"/>
      <c r="AX78" s="806"/>
      <c r="AY78" s="806"/>
      <c r="AZ78" s="806"/>
      <c r="BA78" s="218"/>
      <c r="BB78" s="807" t="s">
        <v>486</v>
      </c>
      <c r="BC78" s="807"/>
      <c r="BD78" s="807"/>
      <c r="BE78" s="807"/>
      <c r="BF78" s="807"/>
      <c r="BG78" s="807"/>
      <c r="BH78" s="807"/>
      <c r="BI78" s="807"/>
      <c r="BJ78" s="807"/>
      <c r="BK78" s="807"/>
      <c r="BL78" s="807"/>
      <c r="BM78" s="807"/>
      <c r="BN78" s="807"/>
      <c r="BO78" s="807"/>
      <c r="BP78" s="807"/>
      <c r="BQ78" s="807"/>
      <c r="BR78" s="807"/>
      <c r="BS78" s="807"/>
      <c r="BT78" s="807"/>
      <c r="BU78" s="807"/>
      <c r="BV78" s="807"/>
      <c r="BW78" s="807"/>
      <c r="BX78" s="807"/>
      <c r="BY78" s="807"/>
      <c r="BZ78" s="807"/>
      <c r="CA78" s="807"/>
      <c r="CB78" s="807"/>
      <c r="CC78" s="807"/>
      <c r="CD78" s="807"/>
      <c r="CE78" s="807"/>
      <c r="CF78" s="807"/>
      <c r="CG78" s="807"/>
      <c r="CH78" s="807"/>
      <c r="CI78" s="807"/>
      <c r="CJ78" s="807"/>
      <c r="CK78" s="807"/>
      <c r="CL78" s="807"/>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row>
    <row r="79" spans="1:117" s="103" customFormat="1" ht="20.25" customHeight="1" x14ac:dyDescent="0.25">
      <c r="A79" s="218"/>
      <c r="B79" s="218"/>
      <c r="C79" s="218"/>
      <c r="D79" s="218"/>
      <c r="E79" s="218"/>
      <c r="F79" s="218"/>
      <c r="G79" s="218"/>
      <c r="H79" s="218"/>
      <c r="I79" s="218"/>
      <c r="J79" s="823" t="s">
        <v>461</v>
      </c>
      <c r="K79" s="823"/>
      <c r="L79" s="823"/>
      <c r="M79" s="823"/>
      <c r="N79" s="823"/>
      <c r="O79" s="823"/>
      <c r="P79" s="823"/>
      <c r="Q79" s="823"/>
      <c r="R79" s="823"/>
      <c r="S79" s="823"/>
      <c r="T79" s="823"/>
      <c r="U79" s="823"/>
      <c r="V79" s="823"/>
      <c r="W79" s="823"/>
      <c r="X79" s="823"/>
      <c r="Y79" s="823"/>
      <c r="Z79" s="823"/>
      <c r="AA79" s="823"/>
      <c r="AB79" s="823"/>
      <c r="AC79" s="823"/>
      <c r="AD79" s="823"/>
      <c r="AE79" s="218"/>
      <c r="AF79" s="804" t="s">
        <v>458</v>
      </c>
      <c r="AG79" s="804"/>
      <c r="AH79" s="804"/>
      <c r="AI79" s="804"/>
      <c r="AJ79" s="804"/>
      <c r="AK79" s="804"/>
      <c r="AL79" s="804"/>
      <c r="AM79" s="804"/>
      <c r="AN79" s="804"/>
      <c r="AO79" s="804"/>
      <c r="AP79" s="804"/>
      <c r="AQ79" s="804"/>
      <c r="AR79" s="804"/>
      <c r="AS79" s="804"/>
      <c r="AT79" s="804"/>
      <c r="AU79" s="804"/>
      <c r="AV79" s="804"/>
      <c r="AW79" s="804"/>
      <c r="AX79" s="804"/>
      <c r="AY79" s="804"/>
      <c r="AZ79" s="804"/>
      <c r="BA79" s="218"/>
      <c r="BB79" s="805" t="s">
        <v>459</v>
      </c>
      <c r="BC79" s="805"/>
      <c r="BD79" s="805"/>
      <c r="BE79" s="805"/>
      <c r="BF79" s="805"/>
      <c r="BG79" s="805"/>
      <c r="BH79" s="805"/>
      <c r="BI79" s="805"/>
      <c r="BJ79" s="805"/>
      <c r="BK79" s="805"/>
      <c r="BL79" s="805"/>
      <c r="BM79" s="805"/>
      <c r="BN79" s="805"/>
      <c r="BO79" s="805"/>
      <c r="BP79" s="805"/>
      <c r="BQ79" s="805"/>
      <c r="BR79" s="805"/>
      <c r="BS79" s="805"/>
      <c r="BT79" s="805"/>
      <c r="BU79" s="805"/>
      <c r="BV79" s="805"/>
      <c r="BW79" s="805"/>
      <c r="BX79" s="805"/>
      <c r="BY79" s="805"/>
      <c r="BZ79" s="805"/>
      <c r="CA79" s="805"/>
      <c r="CB79" s="805"/>
      <c r="CC79" s="805"/>
      <c r="CD79" s="805"/>
      <c r="CE79" s="805"/>
      <c r="CF79" s="805"/>
      <c r="CG79" s="805"/>
      <c r="CH79" s="805"/>
      <c r="CI79" s="805"/>
      <c r="CJ79" s="805"/>
      <c r="CK79" s="805"/>
      <c r="CL79" s="805"/>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1:117" s="103" customFormat="1" ht="15.75" x14ac:dyDescent="0.25">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row>
    <row r="81" spans="1:121" s="103" customFormat="1" ht="15.75" x14ac:dyDescent="0.25">
      <c r="A81" s="218"/>
      <c r="B81" s="217" t="s">
        <v>168</v>
      </c>
      <c r="C81" s="355" t="s">
        <v>726</v>
      </c>
      <c r="D81" s="355"/>
      <c r="E81" s="355"/>
      <c r="F81" s="218" t="s">
        <v>169</v>
      </c>
      <c r="G81" s="218"/>
      <c r="H81" s="355" t="s">
        <v>727</v>
      </c>
      <c r="I81" s="355"/>
      <c r="J81" s="355"/>
      <c r="K81" s="355"/>
      <c r="L81" s="355"/>
      <c r="M81" s="355"/>
      <c r="N81" s="355"/>
      <c r="O81" s="355"/>
      <c r="P81" s="355"/>
      <c r="Q81" s="355"/>
      <c r="R81" s="355"/>
      <c r="S81" s="357">
        <v>20</v>
      </c>
      <c r="T81" s="357"/>
      <c r="U81" s="825">
        <v>24</v>
      </c>
      <c r="V81" s="825"/>
      <c r="W81" s="825"/>
      <c r="X81" s="218" t="s">
        <v>170</v>
      </c>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row>
    <row r="82" spans="1:121" s="103" customFormat="1" ht="16.5" thickBot="1" x14ac:dyDescent="0.3">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row>
    <row r="83" spans="1:121" s="103" customFormat="1" ht="23.25" customHeight="1" x14ac:dyDescent="0.25">
      <c r="A83" s="305"/>
      <c r="B83" s="306" t="s">
        <v>462</v>
      </c>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06"/>
      <c r="BF83" s="306"/>
      <c r="BG83" s="306"/>
      <c r="BH83" s="307"/>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row>
    <row r="84" spans="1:121" s="103" customFormat="1" ht="15.75" x14ac:dyDescent="0.25">
      <c r="A84" s="322"/>
      <c r="B84" s="822" t="s">
        <v>689</v>
      </c>
      <c r="C84" s="822"/>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323"/>
      <c r="DL84" s="175"/>
      <c r="DM84" s="175"/>
      <c r="DN84" s="175"/>
      <c r="DO84" s="175"/>
      <c r="DP84" s="175"/>
      <c r="DQ84" s="175"/>
    </row>
    <row r="85" spans="1:121" s="128" customFormat="1" ht="24.75" customHeight="1" x14ac:dyDescent="0.25">
      <c r="A85" s="324"/>
      <c r="B85" s="826" t="s">
        <v>633</v>
      </c>
      <c r="C85" s="826"/>
      <c r="D85" s="826"/>
      <c r="E85" s="826"/>
      <c r="F85" s="826"/>
      <c r="G85" s="826"/>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6"/>
      <c r="BA85" s="826"/>
      <c r="BB85" s="826"/>
      <c r="BC85" s="826"/>
      <c r="BD85" s="826"/>
      <c r="BE85" s="826"/>
      <c r="BF85" s="826"/>
      <c r="BG85" s="826"/>
      <c r="BH85" s="325"/>
      <c r="DL85" s="176"/>
      <c r="DM85" s="176"/>
      <c r="DN85" s="176"/>
      <c r="DO85" s="176"/>
      <c r="DP85" s="176"/>
      <c r="DQ85" s="176"/>
    </row>
    <row r="86" spans="1:121" s="103" customFormat="1" ht="19.5" customHeight="1" x14ac:dyDescent="0.25">
      <c r="A86" s="322"/>
      <c r="B86" s="822"/>
      <c r="C86" s="822"/>
      <c r="D86" s="822"/>
      <c r="E86" s="822"/>
      <c r="F86" s="822"/>
      <c r="G86" s="822"/>
      <c r="H86" s="822"/>
      <c r="I86" s="822"/>
      <c r="J86" s="822"/>
      <c r="K86" s="822"/>
      <c r="L86" s="822"/>
      <c r="M86" s="822"/>
      <c r="N86" s="822"/>
      <c r="O86" s="822"/>
      <c r="P86" s="326"/>
      <c r="Q86" s="326"/>
      <c r="R86" s="326"/>
      <c r="S86" s="822" t="s">
        <v>690</v>
      </c>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22"/>
      <c r="BA86" s="822"/>
      <c r="BB86" s="822"/>
      <c r="BC86" s="822"/>
      <c r="BD86" s="822"/>
      <c r="BE86" s="822"/>
      <c r="BF86" s="822"/>
      <c r="BG86" s="822"/>
      <c r="BH86" s="323"/>
      <c r="DL86" s="153"/>
      <c r="DM86" s="153"/>
      <c r="DN86" s="153"/>
      <c r="DO86" s="153"/>
      <c r="DP86" s="153"/>
      <c r="DQ86" s="153"/>
    </row>
    <row r="87" spans="1:121" s="103" customFormat="1" ht="15.75" x14ac:dyDescent="0.25">
      <c r="A87" s="308"/>
      <c r="B87" s="823" t="s">
        <v>45</v>
      </c>
      <c r="C87" s="823"/>
      <c r="D87" s="823"/>
      <c r="E87" s="823"/>
      <c r="F87" s="823"/>
      <c r="G87" s="823"/>
      <c r="H87" s="823"/>
      <c r="I87" s="823"/>
      <c r="J87" s="823"/>
      <c r="K87" s="823"/>
      <c r="L87" s="823"/>
      <c r="M87" s="823"/>
      <c r="N87" s="823"/>
      <c r="O87" s="823"/>
      <c r="P87" s="304"/>
      <c r="Q87" s="304"/>
      <c r="R87" s="304"/>
      <c r="S87" s="823" t="s">
        <v>37</v>
      </c>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3"/>
      <c r="BA87" s="823"/>
      <c r="BB87" s="823"/>
      <c r="BC87" s="823"/>
      <c r="BD87" s="823"/>
      <c r="BE87" s="823"/>
      <c r="BF87" s="823"/>
      <c r="BG87" s="823"/>
      <c r="BH87" s="309"/>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row>
    <row r="88" spans="1:121" s="103" customFormat="1" ht="15.75" x14ac:dyDescent="0.25">
      <c r="A88" s="308"/>
      <c r="B88" s="310" t="s">
        <v>168</v>
      </c>
      <c r="C88" s="366" t="str">
        <f>C81</f>
        <v>28</v>
      </c>
      <c r="D88" s="366"/>
      <c r="E88" s="366"/>
      <c r="F88" s="304" t="s">
        <v>169</v>
      </c>
      <c r="G88" s="304"/>
      <c r="H88" s="355" t="s">
        <v>727</v>
      </c>
      <c r="I88" s="355"/>
      <c r="J88" s="355"/>
      <c r="K88" s="355"/>
      <c r="L88" s="355"/>
      <c r="M88" s="355"/>
      <c r="N88" s="355"/>
      <c r="O88" s="355"/>
      <c r="P88" s="355"/>
      <c r="Q88" s="355"/>
      <c r="R88" s="355"/>
      <c r="S88" s="824">
        <v>20</v>
      </c>
      <c r="T88" s="824"/>
      <c r="U88" s="358" t="s">
        <v>621</v>
      </c>
      <c r="V88" s="358"/>
      <c r="W88" s="358"/>
      <c r="X88" s="304" t="s">
        <v>170</v>
      </c>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9"/>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row>
    <row r="89" spans="1:121" s="103" customFormat="1" ht="16.5" thickBot="1" x14ac:dyDescent="0.3">
      <c r="A89" s="311"/>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3"/>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row>
    <row r="90" spans="1:121" s="103" customFormat="1" ht="15.75" x14ac:dyDescent="0.25">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row>
    <row r="91" spans="1:121" s="103" customFormat="1" ht="15.75" x14ac:dyDescent="0.25">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row>
  </sheetData>
  <mergeCells count="367">
    <mergeCell ref="BP57:BW57"/>
    <mergeCell ref="BD43:BI43"/>
    <mergeCell ref="BJ43:BO43"/>
    <mergeCell ref="BX43:CE43"/>
    <mergeCell ref="CF43:CM43"/>
    <mergeCell ref="CN43:CU43"/>
    <mergeCell ref="CV43:DC43"/>
    <mergeCell ref="BD46:BI46"/>
    <mergeCell ref="BJ46:BO46"/>
    <mergeCell ref="BX46:CE46"/>
    <mergeCell ref="CF46:CM46"/>
    <mergeCell ref="CN46:CU46"/>
    <mergeCell ref="CV46:DC46"/>
    <mergeCell ref="BP44:BW44"/>
    <mergeCell ref="BP45:BW45"/>
    <mergeCell ref="BP46:BW46"/>
    <mergeCell ref="BP43:BW43"/>
    <mergeCell ref="BD41:BI41"/>
    <mergeCell ref="BJ41:BO41"/>
    <mergeCell ref="BX41:CE41"/>
    <mergeCell ref="CF41:CM41"/>
    <mergeCell ref="CN41:CU41"/>
    <mergeCell ref="CV41:DC41"/>
    <mergeCell ref="BD42:BI42"/>
    <mergeCell ref="BX42:CE42"/>
    <mergeCell ref="CF42:CM42"/>
    <mergeCell ref="BJ42:BO42"/>
    <mergeCell ref="BP42:BW42"/>
    <mergeCell ref="CN42:CU42"/>
    <mergeCell ref="CV42:DC42"/>
    <mergeCell ref="A24:E24"/>
    <mergeCell ref="F24:BC24"/>
    <mergeCell ref="BD24:BI24"/>
    <mergeCell ref="BJ24:BO24"/>
    <mergeCell ref="BD25:BI25"/>
    <mergeCell ref="BJ25:BO25"/>
    <mergeCell ref="A27:E27"/>
    <mergeCell ref="F27:BC27"/>
    <mergeCell ref="BD27:BI27"/>
    <mergeCell ref="BJ27:BO27"/>
    <mergeCell ref="BD26:BI26"/>
    <mergeCell ref="BJ26:BO26"/>
    <mergeCell ref="B86:O86"/>
    <mergeCell ref="S86:BG86"/>
    <mergeCell ref="B87:O87"/>
    <mergeCell ref="S87:BG87"/>
    <mergeCell ref="C88:E88"/>
    <mergeCell ref="H88:R88"/>
    <mergeCell ref="S88:T88"/>
    <mergeCell ref="U88:W88"/>
    <mergeCell ref="J79:AD79"/>
    <mergeCell ref="AF79:AZ79"/>
    <mergeCell ref="BB79:CL79"/>
    <mergeCell ref="C81:E81"/>
    <mergeCell ref="H81:R81"/>
    <mergeCell ref="S81:T81"/>
    <mergeCell ref="U81:W81"/>
    <mergeCell ref="B84:BG84"/>
    <mergeCell ref="B85:BG85"/>
    <mergeCell ref="A67:E68"/>
    <mergeCell ref="F67:BC67"/>
    <mergeCell ref="BD67:BI68"/>
    <mergeCell ref="BJ67:BO68"/>
    <mergeCell ref="CF67:CM68"/>
    <mergeCell ref="CN67:CU68"/>
    <mergeCell ref="CV67:DC68"/>
    <mergeCell ref="DD67:DK68"/>
    <mergeCell ref="F68:BC68"/>
    <mergeCell ref="AF76:AZ76"/>
    <mergeCell ref="BB76:CL76"/>
    <mergeCell ref="AF73:AZ73"/>
    <mergeCell ref="BB73:CL73"/>
    <mergeCell ref="AF75:AZ75"/>
    <mergeCell ref="BB75:CL75"/>
    <mergeCell ref="J78:AD78"/>
    <mergeCell ref="AF78:AZ78"/>
    <mergeCell ref="BB78:CL78"/>
    <mergeCell ref="AF72:AZ72"/>
    <mergeCell ref="BB72:CL72"/>
    <mergeCell ref="BD60:BI64"/>
    <mergeCell ref="BJ61:BO61"/>
    <mergeCell ref="CF61:CM61"/>
    <mergeCell ref="CN61:CU61"/>
    <mergeCell ref="CV61:DC61"/>
    <mergeCell ref="DD61:DK61"/>
    <mergeCell ref="BJ62:BO62"/>
    <mergeCell ref="CF62:CM62"/>
    <mergeCell ref="CN62:CU62"/>
    <mergeCell ref="CV62:DC62"/>
    <mergeCell ref="DD62:DK62"/>
    <mergeCell ref="BJ63:BO63"/>
    <mergeCell ref="CF63:CM63"/>
    <mergeCell ref="CN63:CU63"/>
    <mergeCell ref="F64:BC64"/>
    <mergeCell ref="F65:BC65"/>
    <mergeCell ref="DD63:DK63"/>
    <mergeCell ref="BX62:CE62"/>
    <mergeCell ref="BP62:BW62"/>
    <mergeCell ref="T72:AE72"/>
    <mergeCell ref="A65:E66"/>
    <mergeCell ref="BD65:BI66"/>
    <mergeCell ref="BJ65:BO66"/>
    <mergeCell ref="CF65:CM66"/>
    <mergeCell ref="CN65:CU66"/>
    <mergeCell ref="CV65:DC66"/>
    <mergeCell ref="DD65:DK66"/>
    <mergeCell ref="F66:BC66"/>
    <mergeCell ref="F60:BC60"/>
    <mergeCell ref="F61:BC61"/>
    <mergeCell ref="A53:E54"/>
    <mergeCell ref="F53:BC53"/>
    <mergeCell ref="BD58:BI59"/>
    <mergeCell ref="BJ58:BO59"/>
    <mergeCell ref="CF58:CM59"/>
    <mergeCell ref="CN58:CU59"/>
    <mergeCell ref="CV58:DC59"/>
    <mergeCell ref="A60:E64"/>
    <mergeCell ref="CV63:DC63"/>
    <mergeCell ref="A58:E59"/>
    <mergeCell ref="F58:BC58"/>
    <mergeCell ref="CF57:CM57"/>
    <mergeCell ref="CN57:CU57"/>
    <mergeCell ref="CV57:DC57"/>
    <mergeCell ref="A57:E57"/>
    <mergeCell ref="BX57:CE57"/>
    <mergeCell ref="BD55:BI55"/>
    <mergeCell ref="BJ55:BO55"/>
    <mergeCell ref="BX55:CE55"/>
    <mergeCell ref="CF55:CM55"/>
    <mergeCell ref="CN55:CU55"/>
    <mergeCell ref="CV55:DC55"/>
    <mergeCell ref="CV56:DC56"/>
    <mergeCell ref="BP55:BW55"/>
    <mergeCell ref="DD57:DK57"/>
    <mergeCell ref="BD53:BI54"/>
    <mergeCell ref="BJ53:BO54"/>
    <mergeCell ref="CF53:CM54"/>
    <mergeCell ref="CN53:CU54"/>
    <mergeCell ref="CV53:DC54"/>
    <mergeCell ref="DD58:DK59"/>
    <mergeCell ref="F59:BC59"/>
    <mergeCell ref="CN51:CU51"/>
    <mergeCell ref="CV51:DC51"/>
    <mergeCell ref="DD51:DK51"/>
    <mergeCell ref="DD53:DK54"/>
    <mergeCell ref="F54:BC54"/>
    <mergeCell ref="F57:BC57"/>
    <mergeCell ref="BD57:BI57"/>
    <mergeCell ref="BJ57:BO57"/>
    <mergeCell ref="BX51:CE51"/>
    <mergeCell ref="BX52:CE52"/>
    <mergeCell ref="DD55:DK55"/>
    <mergeCell ref="BD56:BI56"/>
    <mergeCell ref="BJ56:BO56"/>
    <mergeCell ref="BX56:CE56"/>
    <mergeCell ref="CF56:CM56"/>
    <mergeCell ref="CN56:CU56"/>
    <mergeCell ref="A52:E52"/>
    <mergeCell ref="F52:BC52"/>
    <mergeCell ref="BD52:BI52"/>
    <mergeCell ref="BJ52:BO52"/>
    <mergeCell ref="CF52:CM52"/>
    <mergeCell ref="CN52:CU52"/>
    <mergeCell ref="CV52:DC52"/>
    <mergeCell ref="DD52:DK52"/>
    <mergeCell ref="A51:E51"/>
    <mergeCell ref="F51:BC51"/>
    <mergeCell ref="BD51:BI51"/>
    <mergeCell ref="BJ51:BO51"/>
    <mergeCell ref="CF51:CM51"/>
    <mergeCell ref="BP51:BW51"/>
    <mergeCell ref="BP52:BW52"/>
    <mergeCell ref="A49:E50"/>
    <mergeCell ref="F49:BC49"/>
    <mergeCell ref="BD49:BI50"/>
    <mergeCell ref="BJ49:BO50"/>
    <mergeCell ref="CF49:CM50"/>
    <mergeCell ref="CN49:CU50"/>
    <mergeCell ref="CV49:DC50"/>
    <mergeCell ref="DD49:DK50"/>
    <mergeCell ref="F50:BC50"/>
    <mergeCell ref="A37:E38"/>
    <mergeCell ref="F37:BC37"/>
    <mergeCell ref="A48:E48"/>
    <mergeCell ref="F48:BC48"/>
    <mergeCell ref="BX48:CE48"/>
    <mergeCell ref="DD44:DK44"/>
    <mergeCell ref="A45:E45"/>
    <mergeCell ref="F45:BC45"/>
    <mergeCell ref="BD45:BI45"/>
    <mergeCell ref="BJ45:BO45"/>
    <mergeCell ref="CF45:CM45"/>
    <mergeCell ref="CN45:CU45"/>
    <mergeCell ref="CV45:DC45"/>
    <mergeCell ref="DD45:DK45"/>
    <mergeCell ref="BD44:BI44"/>
    <mergeCell ref="BJ44:BO44"/>
    <mergeCell ref="CF44:CM44"/>
    <mergeCell ref="CN44:CU44"/>
    <mergeCell ref="CV44:DC44"/>
    <mergeCell ref="A44:E44"/>
    <mergeCell ref="F44:BC44"/>
    <mergeCell ref="BX44:CE44"/>
    <mergeCell ref="BX45:CE45"/>
    <mergeCell ref="DD46:DK46"/>
    <mergeCell ref="A39:E40"/>
    <mergeCell ref="F39:BC39"/>
    <mergeCell ref="BD39:BI40"/>
    <mergeCell ref="BJ39:BO40"/>
    <mergeCell ref="CF39:CM40"/>
    <mergeCell ref="CN39:CU40"/>
    <mergeCell ref="CV39:DC40"/>
    <mergeCell ref="DD39:DK40"/>
    <mergeCell ref="F40:BC40"/>
    <mergeCell ref="F34:BC34"/>
    <mergeCell ref="BD34:BI35"/>
    <mergeCell ref="BJ34:BO35"/>
    <mergeCell ref="CF34:CM35"/>
    <mergeCell ref="CN34:CU35"/>
    <mergeCell ref="BX36:CE36"/>
    <mergeCell ref="BP36:BW36"/>
    <mergeCell ref="DD37:DK38"/>
    <mergeCell ref="F38:BC38"/>
    <mergeCell ref="BD37:BI38"/>
    <mergeCell ref="BJ37:BO38"/>
    <mergeCell ref="CF37:CM38"/>
    <mergeCell ref="CN37:CU38"/>
    <mergeCell ref="CV37:DC38"/>
    <mergeCell ref="F35:BC35"/>
    <mergeCell ref="A36:E36"/>
    <mergeCell ref="F36:BC36"/>
    <mergeCell ref="BD36:BI36"/>
    <mergeCell ref="BJ36:BO36"/>
    <mergeCell ref="CF36:CM36"/>
    <mergeCell ref="CN36:CU36"/>
    <mergeCell ref="CV36:DC36"/>
    <mergeCell ref="DD36:DK36"/>
    <mergeCell ref="F29:BC29"/>
    <mergeCell ref="F30:BC30"/>
    <mergeCell ref="A31:E33"/>
    <mergeCell ref="F31:BC31"/>
    <mergeCell ref="BD31:BI33"/>
    <mergeCell ref="BJ31:BO33"/>
    <mergeCell ref="CF31:CM33"/>
    <mergeCell ref="CN31:CU33"/>
    <mergeCell ref="CV31:DC33"/>
    <mergeCell ref="F32:BC32"/>
    <mergeCell ref="F33:BC33"/>
    <mergeCell ref="BD28:BI30"/>
    <mergeCell ref="BJ28:BO30"/>
    <mergeCell ref="CF28:CM30"/>
    <mergeCell ref="CN28:CU30"/>
    <mergeCell ref="CV28:DC30"/>
    <mergeCell ref="DD19:DK21"/>
    <mergeCell ref="F20:BC20"/>
    <mergeCell ref="F21:BC21"/>
    <mergeCell ref="A22:E23"/>
    <mergeCell ref="F22:BC22"/>
    <mergeCell ref="BD22:BI23"/>
    <mergeCell ref="BJ22:BO23"/>
    <mergeCell ref="CF22:CM23"/>
    <mergeCell ref="CN22:CU23"/>
    <mergeCell ref="CV22:DC23"/>
    <mergeCell ref="DD22:DK23"/>
    <mergeCell ref="F23:BC23"/>
    <mergeCell ref="BD19:BI21"/>
    <mergeCell ref="BJ19:BO21"/>
    <mergeCell ref="CF19:CM21"/>
    <mergeCell ref="CN19:CU21"/>
    <mergeCell ref="CV19:DC21"/>
    <mergeCell ref="DD10:DK18"/>
    <mergeCell ref="F11:BC11"/>
    <mergeCell ref="F12:BC12"/>
    <mergeCell ref="F13:BC13"/>
    <mergeCell ref="F14:BC14"/>
    <mergeCell ref="F15:BC15"/>
    <mergeCell ref="F16:BC16"/>
    <mergeCell ref="F17:BC17"/>
    <mergeCell ref="F18:BC18"/>
    <mergeCell ref="BD10:BI18"/>
    <mergeCell ref="BJ10:BO18"/>
    <mergeCell ref="CF10:CM18"/>
    <mergeCell ref="CN10:CU18"/>
    <mergeCell ref="CV10:DC18"/>
    <mergeCell ref="DD8:DK8"/>
    <mergeCell ref="A9:E9"/>
    <mergeCell ref="F9:BC9"/>
    <mergeCell ref="BD9:BI9"/>
    <mergeCell ref="BJ9:BO9"/>
    <mergeCell ref="CF9:CM9"/>
    <mergeCell ref="CN9:CU9"/>
    <mergeCell ref="CV9:DC9"/>
    <mergeCell ref="DD9:DK9"/>
    <mergeCell ref="BD8:BI8"/>
    <mergeCell ref="BJ8:BO8"/>
    <mergeCell ref="CF8:CM8"/>
    <mergeCell ref="CN8:CU8"/>
    <mergeCell ref="CV8:DC8"/>
    <mergeCell ref="BX8:CE8"/>
    <mergeCell ref="BX9:CE9"/>
    <mergeCell ref="BP8:BW8"/>
    <mergeCell ref="BP9:BW9"/>
    <mergeCell ref="CF4:CM4"/>
    <mergeCell ref="CN4:CU4"/>
    <mergeCell ref="CV4:DC4"/>
    <mergeCell ref="DD6:DK6"/>
    <mergeCell ref="BD7:BI7"/>
    <mergeCell ref="BJ7:BO7"/>
    <mergeCell ref="CF7:CM7"/>
    <mergeCell ref="CN7:CU7"/>
    <mergeCell ref="CV7:DC7"/>
    <mergeCell ref="DD7:DK7"/>
    <mergeCell ref="BD6:BI6"/>
    <mergeCell ref="BJ6:BO6"/>
    <mergeCell ref="CF6:CM6"/>
    <mergeCell ref="CN6:CU6"/>
    <mergeCell ref="CV6:DC6"/>
    <mergeCell ref="BX3:CE7"/>
    <mergeCell ref="BP3:BW7"/>
    <mergeCell ref="F3:BC7"/>
    <mergeCell ref="A1:DK1"/>
    <mergeCell ref="BD3:BI3"/>
    <mergeCell ref="BJ3:BO3"/>
    <mergeCell ref="CF3:DK3"/>
    <mergeCell ref="A28:E30"/>
    <mergeCell ref="F28:BC28"/>
    <mergeCell ref="A34:E35"/>
    <mergeCell ref="A19:E21"/>
    <mergeCell ref="F19:BC19"/>
    <mergeCell ref="A10:E18"/>
    <mergeCell ref="F10:BC10"/>
    <mergeCell ref="A8:E8"/>
    <mergeCell ref="F8:BC8"/>
    <mergeCell ref="DD4:DK4"/>
    <mergeCell ref="BD5:BI5"/>
    <mergeCell ref="BJ5:BO5"/>
    <mergeCell ref="A3:E7"/>
    <mergeCell ref="CF5:CM5"/>
    <mergeCell ref="CN5:CU5"/>
    <mergeCell ref="CV5:DC5"/>
    <mergeCell ref="DD5:DK5"/>
    <mergeCell ref="BD4:BI4"/>
    <mergeCell ref="BJ4:BO4"/>
    <mergeCell ref="CF24:CM24"/>
    <mergeCell ref="CF25:CM25"/>
    <mergeCell ref="CF26:CM26"/>
    <mergeCell ref="DD56:DK56"/>
    <mergeCell ref="BD47:BI47"/>
    <mergeCell ref="BJ47:BO47"/>
    <mergeCell ref="BX47:CE47"/>
    <mergeCell ref="CF47:CM47"/>
    <mergeCell ref="CN47:CU47"/>
    <mergeCell ref="CV47:DC47"/>
    <mergeCell ref="DD47:DK47"/>
    <mergeCell ref="CF48:CM48"/>
    <mergeCell ref="CN48:CU48"/>
    <mergeCell ref="CV48:DC48"/>
    <mergeCell ref="BJ48:BO48"/>
    <mergeCell ref="BP47:BW47"/>
    <mergeCell ref="BP48:BW48"/>
    <mergeCell ref="BP56:BW56"/>
    <mergeCell ref="DD28:DK30"/>
    <mergeCell ref="DD31:DK33"/>
    <mergeCell ref="CV34:DC35"/>
    <mergeCell ref="DD34:DK35"/>
    <mergeCell ref="DD48:DK48"/>
    <mergeCell ref="BD48:BI48"/>
  </mergeCells>
  <pageMargins left="0.39370078740157483" right="0" top="0.47244094488188981" bottom="0" header="0.31496062992125984" footer="0.15748031496062992"/>
  <pageSetup paperSize="9" scale="5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2"/>
  <sheetViews>
    <sheetView zoomScale="57" zoomScaleNormal="57" zoomScaleSheetLayoutView="50" workbookViewId="0">
      <selection activeCell="G32" sqref="G32"/>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7" width="23.5703125" customWidth="1"/>
    <col min="8" max="8" width="22.85546875" customWidth="1"/>
    <col min="9" max="9" width="22" hidden="1" customWidth="1"/>
    <col min="10" max="10" width="20.5703125" hidden="1" customWidth="1"/>
    <col min="11" max="11" width="21.42578125" customWidth="1"/>
    <col min="12" max="12" width="24.7109375" customWidth="1"/>
    <col min="13" max="13" width="25.85546875" customWidth="1"/>
    <col min="14" max="14" width="20.140625" customWidth="1"/>
    <col min="15" max="15" width="19.42578125" customWidth="1"/>
    <col min="16" max="16" width="23.85546875" hidden="1" customWidth="1"/>
    <col min="17" max="17" width="24.7109375" hidden="1" customWidth="1"/>
    <col min="19" max="19" width="20.140625" bestFit="1" customWidth="1"/>
  </cols>
  <sheetData>
    <row r="1" spans="1:17" s="2" customFormat="1" ht="18" x14ac:dyDescent="0.2">
      <c r="A1" s="840"/>
      <c r="B1" s="840"/>
      <c r="C1" s="106"/>
      <c r="D1" s="841"/>
      <c r="E1" s="841"/>
      <c r="F1" s="8"/>
      <c r="G1" s="8"/>
      <c r="H1" s="8"/>
      <c r="I1" s="8"/>
      <c r="J1" s="8"/>
      <c r="K1" s="8"/>
      <c r="L1" s="8"/>
      <c r="M1" s="8"/>
      <c r="N1" s="8"/>
      <c r="O1" s="8"/>
      <c r="P1" s="8"/>
      <c r="Q1" s="8"/>
    </row>
    <row r="2" spans="1:17" s="2" customFormat="1" ht="21" customHeight="1" x14ac:dyDescent="0.2">
      <c r="A2" s="846" t="s">
        <v>637</v>
      </c>
      <c r="B2" s="846"/>
      <c r="C2" s="846"/>
      <c r="D2" s="846"/>
      <c r="E2" s="846"/>
      <c r="F2" s="846"/>
      <c r="G2" s="846"/>
      <c r="H2" s="846"/>
      <c r="I2" s="846"/>
      <c r="J2" s="846"/>
      <c r="K2" s="846"/>
      <c r="L2" s="846"/>
      <c r="M2" s="846"/>
      <c r="N2" s="846"/>
      <c r="O2" s="107"/>
    </row>
    <row r="3" spans="1:17" s="2" customFormat="1" ht="18" customHeight="1" x14ac:dyDescent="0.2">
      <c r="A3" s="846"/>
      <c r="B3" s="846"/>
      <c r="C3" s="846"/>
      <c r="D3" s="846"/>
      <c r="E3" s="846"/>
      <c r="F3" s="846"/>
      <c r="G3" s="846"/>
      <c r="H3" s="846"/>
      <c r="I3" s="846"/>
      <c r="J3" s="846"/>
      <c r="K3" s="846"/>
      <c r="L3" s="846"/>
      <c r="M3" s="846"/>
      <c r="N3" s="846"/>
      <c r="O3" s="107"/>
    </row>
    <row r="4" spans="1:17" s="2" customFormat="1" ht="9.75" customHeight="1" x14ac:dyDescent="0.4">
      <c r="A4" s="28"/>
      <c r="B4" s="28"/>
      <c r="C4" s="28"/>
      <c r="D4" s="28"/>
      <c r="E4" s="28"/>
      <c r="F4" s="28"/>
      <c r="G4" s="28"/>
      <c r="H4" s="28"/>
      <c r="I4" s="28"/>
      <c r="J4" s="28"/>
      <c r="K4" s="28"/>
      <c r="L4" s="28"/>
      <c r="M4" s="28"/>
      <c r="N4" s="28"/>
      <c r="O4" s="28"/>
    </row>
    <row r="5" spans="1:17" s="2" customFormat="1" ht="15.75" customHeight="1" x14ac:dyDescent="0.2">
      <c r="A5" s="847" t="s">
        <v>569</v>
      </c>
      <c r="B5" s="847"/>
      <c r="C5" s="847"/>
      <c r="D5" s="847"/>
      <c r="E5" s="847"/>
      <c r="F5" s="847"/>
      <c r="G5" s="847"/>
      <c r="H5" s="847"/>
      <c r="I5" s="847"/>
      <c r="J5" s="847"/>
      <c r="K5" s="847"/>
      <c r="L5" s="847"/>
      <c r="M5" s="847"/>
      <c r="N5" s="847"/>
      <c r="O5" s="847"/>
      <c r="P5" s="847"/>
      <c r="Q5" s="847"/>
    </row>
    <row r="6" spans="1:17" s="2" customFormat="1" ht="11.25" customHeight="1" x14ac:dyDescent="0.2">
      <c r="A6" s="847"/>
      <c r="B6" s="847"/>
      <c r="C6" s="847"/>
      <c r="D6" s="847"/>
      <c r="E6" s="847"/>
      <c r="F6" s="847"/>
      <c r="G6" s="847"/>
      <c r="H6" s="847"/>
      <c r="I6" s="847"/>
      <c r="J6" s="847"/>
      <c r="K6" s="847"/>
      <c r="L6" s="847"/>
      <c r="M6" s="847"/>
      <c r="N6" s="847"/>
      <c r="O6" s="847"/>
      <c r="P6" s="847"/>
      <c r="Q6" s="847"/>
    </row>
    <row r="7" spans="1:17" ht="29.25" customHeight="1" thickBot="1" x14ac:dyDescent="0.45">
      <c r="A7" s="25" t="s">
        <v>32</v>
      </c>
      <c r="B7" s="6"/>
      <c r="C7" s="108" t="s">
        <v>679</v>
      </c>
      <c r="D7" s="23"/>
      <c r="E7" s="23"/>
      <c r="F7" s="24"/>
      <c r="G7" s="23"/>
      <c r="H7" s="23"/>
      <c r="I7" s="23"/>
      <c r="J7" s="23"/>
      <c r="K7" s="23"/>
      <c r="L7" s="23"/>
      <c r="M7" s="23"/>
      <c r="N7" s="23"/>
      <c r="O7" s="23"/>
      <c r="P7" s="23"/>
      <c r="Q7" s="23"/>
    </row>
    <row r="8" spans="1:17" ht="83.25" customHeight="1" x14ac:dyDescent="0.2">
      <c r="A8" s="842" t="s">
        <v>10</v>
      </c>
      <c r="B8" s="884" t="s">
        <v>95</v>
      </c>
      <c r="C8" s="844" t="s">
        <v>89</v>
      </c>
      <c r="D8" s="844" t="s">
        <v>11</v>
      </c>
      <c r="E8" s="844" t="s">
        <v>62</v>
      </c>
      <c r="F8" s="881" t="s">
        <v>34</v>
      </c>
      <c r="G8" s="887" t="s">
        <v>141</v>
      </c>
      <c r="H8" s="844" t="s">
        <v>140</v>
      </c>
      <c r="I8" s="890" t="s">
        <v>143</v>
      </c>
      <c r="J8" s="891"/>
      <c r="K8" s="848" t="s">
        <v>73</v>
      </c>
      <c r="L8" s="848" t="s">
        <v>74</v>
      </c>
      <c r="M8" s="848" t="s">
        <v>70</v>
      </c>
      <c r="N8" s="848" t="s">
        <v>557</v>
      </c>
      <c r="O8" s="851" t="s">
        <v>75</v>
      </c>
      <c r="P8" s="854" t="s">
        <v>71</v>
      </c>
      <c r="Q8" s="851" t="s">
        <v>72</v>
      </c>
    </row>
    <row r="9" spans="1:17" ht="45.75" customHeight="1" x14ac:dyDescent="0.2">
      <c r="A9" s="843"/>
      <c r="B9" s="885"/>
      <c r="C9" s="845"/>
      <c r="D9" s="845"/>
      <c r="E9" s="845"/>
      <c r="F9" s="882"/>
      <c r="G9" s="888"/>
      <c r="H9" s="845"/>
      <c r="I9" s="878" t="s">
        <v>146</v>
      </c>
      <c r="J9" s="878" t="s">
        <v>147</v>
      </c>
      <c r="K9" s="849"/>
      <c r="L9" s="849"/>
      <c r="M9" s="849"/>
      <c r="N9" s="849"/>
      <c r="O9" s="852"/>
      <c r="P9" s="855"/>
      <c r="Q9" s="852"/>
    </row>
    <row r="10" spans="1:17" ht="37.5" customHeight="1" x14ac:dyDescent="0.2">
      <c r="A10" s="843"/>
      <c r="B10" s="885"/>
      <c r="C10" s="845"/>
      <c r="D10" s="845"/>
      <c r="E10" s="845"/>
      <c r="F10" s="882"/>
      <c r="G10" s="888"/>
      <c r="H10" s="845"/>
      <c r="I10" s="879"/>
      <c r="J10" s="879"/>
      <c r="K10" s="849"/>
      <c r="L10" s="849"/>
      <c r="M10" s="849"/>
      <c r="N10" s="849"/>
      <c r="O10" s="852"/>
      <c r="P10" s="855"/>
      <c r="Q10" s="852"/>
    </row>
    <row r="11" spans="1:17" ht="140.25" customHeight="1" x14ac:dyDescent="0.2">
      <c r="A11" s="843"/>
      <c r="B11" s="886"/>
      <c r="C11" s="845"/>
      <c r="D11" s="845"/>
      <c r="E11" s="845"/>
      <c r="F11" s="883"/>
      <c r="G11" s="889"/>
      <c r="H11" s="845"/>
      <c r="I11" s="880"/>
      <c r="J11" s="880"/>
      <c r="K11" s="850"/>
      <c r="L11" s="850"/>
      <c r="M11" s="850"/>
      <c r="N11" s="850"/>
      <c r="O11" s="853"/>
      <c r="P11" s="856"/>
      <c r="Q11" s="853"/>
    </row>
    <row r="12" spans="1:17" s="31" customFormat="1" ht="48.75" customHeight="1" x14ac:dyDescent="0.35">
      <c r="A12" s="869" t="s">
        <v>38</v>
      </c>
      <c r="B12" s="870"/>
      <c r="C12" s="870"/>
      <c r="D12" s="870"/>
      <c r="E12" s="870"/>
      <c r="F12" s="871"/>
      <c r="G12" s="34" t="s">
        <v>139</v>
      </c>
      <c r="H12" s="34" t="s">
        <v>142</v>
      </c>
      <c r="I12" s="34" t="s">
        <v>144</v>
      </c>
      <c r="J12" s="34" t="s">
        <v>145</v>
      </c>
      <c r="K12" s="34" t="s">
        <v>101</v>
      </c>
      <c r="L12" s="34" t="s">
        <v>105</v>
      </c>
      <c r="M12" s="34" t="s">
        <v>106</v>
      </c>
      <c r="N12" s="34" t="s">
        <v>558</v>
      </c>
      <c r="O12" s="35" t="s">
        <v>108</v>
      </c>
      <c r="P12" s="109" t="s">
        <v>107</v>
      </c>
      <c r="Q12" s="35" t="s">
        <v>108</v>
      </c>
    </row>
    <row r="13" spans="1:17" ht="43.5" customHeight="1" x14ac:dyDescent="0.35">
      <c r="A13" s="876" t="s">
        <v>15</v>
      </c>
      <c r="B13" s="877"/>
      <c r="C13" s="877"/>
      <c r="D13" s="877"/>
      <c r="E13" s="877"/>
      <c r="F13" s="129">
        <f>SUM(G13:O13)</f>
        <v>709249.44000000006</v>
      </c>
      <c r="G13" s="129">
        <f>G14+G20+G44+G48+G54</f>
        <v>10227.61</v>
      </c>
      <c r="H13" s="129">
        <f t="shared" ref="H13:Q13" si="0">H14+H20+H44+H48+H54</f>
        <v>699021.83000000007</v>
      </c>
      <c r="I13" s="129">
        <f t="shared" si="0"/>
        <v>0</v>
      </c>
      <c r="J13" s="129">
        <f t="shared" si="0"/>
        <v>0</v>
      </c>
      <c r="K13" s="129">
        <f t="shared" si="0"/>
        <v>0</v>
      </c>
      <c r="L13" s="129">
        <f t="shared" si="0"/>
        <v>0</v>
      </c>
      <c r="M13" s="129">
        <f t="shared" si="0"/>
        <v>0</v>
      </c>
      <c r="N13" s="129">
        <f t="shared" si="0"/>
        <v>0</v>
      </c>
      <c r="O13" s="130">
        <f t="shared" si="0"/>
        <v>0</v>
      </c>
      <c r="P13" s="110">
        <f t="shared" si="0"/>
        <v>0</v>
      </c>
      <c r="Q13" s="65">
        <f t="shared" si="0"/>
        <v>0</v>
      </c>
    </row>
    <row r="14" spans="1:17" ht="42.75" customHeight="1" x14ac:dyDescent="0.35">
      <c r="A14" s="872" t="s">
        <v>94</v>
      </c>
      <c r="B14" s="873"/>
      <c r="C14" s="873"/>
      <c r="D14" s="874">
        <v>210</v>
      </c>
      <c r="E14" s="875"/>
      <c r="F14" s="131">
        <f>SUM(G14:Q14)</f>
        <v>699021.83000000007</v>
      </c>
      <c r="G14" s="131">
        <f>G15+G16+G17+G18</f>
        <v>0</v>
      </c>
      <c r="H14" s="131">
        <f t="shared" ref="H14:Q14" si="1">H15+H16+H17+H18</f>
        <v>699021.83000000007</v>
      </c>
      <c r="I14" s="131">
        <f t="shared" si="1"/>
        <v>0</v>
      </c>
      <c r="J14" s="131">
        <f t="shared" si="1"/>
        <v>0</v>
      </c>
      <c r="K14" s="131">
        <f t="shared" si="1"/>
        <v>0</v>
      </c>
      <c r="L14" s="131">
        <f t="shared" si="1"/>
        <v>0</v>
      </c>
      <c r="M14" s="131">
        <f t="shared" si="1"/>
        <v>0</v>
      </c>
      <c r="N14" s="131">
        <f t="shared" si="1"/>
        <v>0</v>
      </c>
      <c r="O14" s="132">
        <f t="shared" si="1"/>
        <v>0</v>
      </c>
      <c r="P14" s="111">
        <f t="shared" si="1"/>
        <v>0</v>
      </c>
      <c r="Q14" s="56">
        <f t="shared" si="1"/>
        <v>0</v>
      </c>
    </row>
    <row r="15" spans="1:17" ht="36" customHeight="1" x14ac:dyDescent="0.35">
      <c r="A15" s="20" t="s">
        <v>16</v>
      </c>
      <c r="B15" s="40" t="s">
        <v>96</v>
      </c>
      <c r="C15" s="104" t="s">
        <v>47</v>
      </c>
      <c r="D15" s="67">
        <v>21101</v>
      </c>
      <c r="E15" s="104" t="s">
        <v>90</v>
      </c>
      <c r="F15" s="133">
        <f>SUM(G15:Q15)</f>
        <v>536883.13</v>
      </c>
      <c r="G15" s="133"/>
      <c r="H15" s="133">
        <v>536883.13</v>
      </c>
      <c r="I15" s="133"/>
      <c r="J15" s="133"/>
      <c r="K15" s="133"/>
      <c r="L15" s="133"/>
      <c r="M15" s="133"/>
      <c r="N15" s="133"/>
      <c r="O15" s="134"/>
      <c r="P15" s="112"/>
      <c r="Q15" s="18"/>
    </row>
    <row r="16" spans="1:17" ht="35.25" customHeight="1" x14ac:dyDescent="0.35">
      <c r="A16" s="16" t="s">
        <v>17</v>
      </c>
      <c r="B16" s="40" t="s">
        <v>97</v>
      </c>
      <c r="C16" s="104" t="s">
        <v>48</v>
      </c>
      <c r="D16" s="67">
        <v>21300</v>
      </c>
      <c r="E16" s="104" t="s">
        <v>18</v>
      </c>
      <c r="F16" s="133">
        <f>SUM(G16:Q16)</f>
        <v>162138.70000000001</v>
      </c>
      <c r="G16" s="133"/>
      <c r="H16" s="133">
        <v>162138.70000000001</v>
      </c>
      <c r="I16" s="133"/>
      <c r="J16" s="133"/>
      <c r="K16" s="133"/>
      <c r="L16" s="133"/>
      <c r="M16" s="133"/>
      <c r="N16" s="133"/>
      <c r="O16" s="134"/>
      <c r="P16" s="112"/>
      <c r="Q16" s="18"/>
    </row>
    <row r="17" spans="1:17" ht="36" customHeight="1" x14ac:dyDescent="0.35">
      <c r="A17" s="16" t="s">
        <v>98</v>
      </c>
      <c r="B17" s="40" t="s">
        <v>99</v>
      </c>
      <c r="C17" s="104" t="s">
        <v>48</v>
      </c>
      <c r="D17" s="67">
        <v>21300</v>
      </c>
      <c r="E17" s="104" t="s">
        <v>18</v>
      </c>
      <c r="F17" s="133">
        <f>SUM(G17:Q17)</f>
        <v>0</v>
      </c>
      <c r="G17" s="133"/>
      <c r="H17" s="133"/>
      <c r="I17" s="133"/>
      <c r="J17" s="133"/>
      <c r="K17" s="133"/>
      <c r="L17" s="133"/>
      <c r="M17" s="133"/>
      <c r="N17" s="133"/>
      <c r="O17" s="134"/>
      <c r="P17" s="112"/>
      <c r="Q17" s="18"/>
    </row>
    <row r="18" spans="1:17" ht="29.25" customHeight="1" x14ac:dyDescent="0.35">
      <c r="A18" s="862" t="s">
        <v>12</v>
      </c>
      <c r="B18" s="863"/>
      <c r="C18" s="863"/>
      <c r="D18" s="860">
        <v>212</v>
      </c>
      <c r="E18" s="861"/>
      <c r="F18" s="135">
        <f t="shared" ref="F18:F19" si="2">SUM(G18:Q18)</f>
        <v>0</v>
      </c>
      <c r="G18" s="135">
        <f>G19</f>
        <v>0</v>
      </c>
      <c r="H18" s="135">
        <f t="shared" ref="H18:Q18" si="3">H19</f>
        <v>0</v>
      </c>
      <c r="I18" s="135">
        <f t="shared" si="3"/>
        <v>0</v>
      </c>
      <c r="J18" s="135">
        <f t="shared" si="3"/>
        <v>0</v>
      </c>
      <c r="K18" s="135">
        <f t="shared" si="3"/>
        <v>0</v>
      </c>
      <c r="L18" s="135">
        <f t="shared" si="3"/>
        <v>0</v>
      </c>
      <c r="M18" s="135">
        <f t="shared" si="3"/>
        <v>0</v>
      </c>
      <c r="N18" s="135">
        <f t="shared" si="3"/>
        <v>0</v>
      </c>
      <c r="O18" s="136">
        <f t="shared" si="3"/>
        <v>0</v>
      </c>
      <c r="P18" s="113">
        <f t="shared" si="3"/>
        <v>0</v>
      </c>
      <c r="Q18" s="50">
        <f t="shared" si="3"/>
        <v>0</v>
      </c>
    </row>
    <row r="19" spans="1:17" ht="34.5" customHeight="1" x14ac:dyDescent="0.35">
      <c r="A19" s="57" t="s">
        <v>112</v>
      </c>
      <c r="B19" s="39" t="s">
        <v>100</v>
      </c>
      <c r="C19" s="38">
        <v>112</v>
      </c>
      <c r="D19" s="41">
        <v>21201</v>
      </c>
      <c r="E19" s="104" t="s">
        <v>59</v>
      </c>
      <c r="F19" s="133">
        <f t="shared" si="2"/>
        <v>0</v>
      </c>
      <c r="G19" s="133"/>
      <c r="H19" s="133"/>
      <c r="I19" s="133"/>
      <c r="J19" s="133"/>
      <c r="K19" s="137"/>
      <c r="L19" s="137"/>
      <c r="M19" s="137"/>
      <c r="N19" s="137"/>
      <c r="O19" s="138"/>
      <c r="P19" s="114"/>
      <c r="Q19" s="17"/>
    </row>
    <row r="20" spans="1:17" ht="27.75" customHeight="1" x14ac:dyDescent="0.35">
      <c r="A20" s="864" t="s">
        <v>92</v>
      </c>
      <c r="B20" s="865"/>
      <c r="C20" s="866"/>
      <c r="D20" s="867">
        <v>220</v>
      </c>
      <c r="E20" s="868"/>
      <c r="F20" s="139">
        <f>F21+F22+F23+F28+F35</f>
        <v>10227.61</v>
      </c>
      <c r="G20" s="139">
        <f>G21+G22+G23+G28+G35</f>
        <v>10227.61</v>
      </c>
      <c r="H20" s="139">
        <f t="shared" ref="H20:Q20" si="4">H21+H22+H23+H28+H35</f>
        <v>0</v>
      </c>
      <c r="I20" s="139">
        <f t="shared" si="4"/>
        <v>0</v>
      </c>
      <c r="J20" s="139">
        <f t="shared" si="4"/>
        <v>0</v>
      </c>
      <c r="K20" s="139">
        <f t="shared" si="4"/>
        <v>0</v>
      </c>
      <c r="L20" s="139">
        <f t="shared" si="4"/>
        <v>0</v>
      </c>
      <c r="M20" s="139">
        <f t="shared" si="4"/>
        <v>0</v>
      </c>
      <c r="N20" s="139">
        <f t="shared" si="4"/>
        <v>0</v>
      </c>
      <c r="O20" s="140">
        <f t="shared" si="4"/>
        <v>0</v>
      </c>
      <c r="P20" s="115">
        <f t="shared" si="4"/>
        <v>0</v>
      </c>
      <c r="Q20" s="46">
        <f t="shared" si="4"/>
        <v>0</v>
      </c>
    </row>
    <row r="21" spans="1:17" ht="29.25" customHeight="1" x14ac:dyDescent="0.35">
      <c r="A21" s="51" t="s">
        <v>0</v>
      </c>
      <c r="B21" s="52" t="s">
        <v>100</v>
      </c>
      <c r="C21" s="53" t="s">
        <v>49</v>
      </c>
      <c r="D21" s="54">
        <v>22100</v>
      </c>
      <c r="E21" s="53" t="s">
        <v>113</v>
      </c>
      <c r="F21" s="141">
        <f>SUM(G21:Q21)</f>
        <v>0</v>
      </c>
      <c r="G21" s="141"/>
      <c r="H21" s="141"/>
      <c r="I21" s="141"/>
      <c r="J21" s="141"/>
      <c r="K21" s="141"/>
      <c r="L21" s="141"/>
      <c r="M21" s="141"/>
      <c r="N21" s="141"/>
      <c r="O21" s="142"/>
      <c r="P21" s="116"/>
      <c r="Q21" s="49"/>
    </row>
    <row r="22" spans="1:17" ht="27" customHeight="1" x14ac:dyDescent="0.35">
      <c r="A22" s="51" t="s">
        <v>93</v>
      </c>
      <c r="B22" s="52" t="s">
        <v>100</v>
      </c>
      <c r="C22" s="53" t="s">
        <v>49</v>
      </c>
      <c r="D22" s="54">
        <v>22299</v>
      </c>
      <c r="E22" s="53" t="s">
        <v>60</v>
      </c>
      <c r="F22" s="141">
        <f>SUM(G22:Q22)</f>
        <v>0</v>
      </c>
      <c r="G22" s="141"/>
      <c r="H22" s="141"/>
      <c r="I22" s="141"/>
      <c r="J22" s="141"/>
      <c r="K22" s="141"/>
      <c r="L22" s="141"/>
      <c r="M22" s="141"/>
      <c r="N22" s="141"/>
      <c r="O22" s="142"/>
      <c r="P22" s="116"/>
      <c r="Q22" s="49"/>
    </row>
    <row r="23" spans="1:17" ht="31.5" customHeight="1" x14ac:dyDescent="0.35">
      <c r="A23" s="857" t="s">
        <v>19</v>
      </c>
      <c r="B23" s="858"/>
      <c r="C23" s="859"/>
      <c r="D23" s="900">
        <v>223</v>
      </c>
      <c r="E23" s="901"/>
      <c r="F23" s="141">
        <f>SUM(F24:F27)</f>
        <v>0</v>
      </c>
      <c r="G23" s="141">
        <f>SUM(G24:G27)</f>
        <v>0</v>
      </c>
      <c r="H23" s="141">
        <f t="shared" ref="H23:Q23" si="5">SUM(H24:H27)</f>
        <v>0</v>
      </c>
      <c r="I23" s="141">
        <f t="shared" si="5"/>
        <v>0</v>
      </c>
      <c r="J23" s="141">
        <f t="shared" si="5"/>
        <v>0</v>
      </c>
      <c r="K23" s="141">
        <f t="shared" si="5"/>
        <v>0</v>
      </c>
      <c r="L23" s="141">
        <f t="shared" si="5"/>
        <v>0</v>
      </c>
      <c r="M23" s="141">
        <f t="shared" si="5"/>
        <v>0</v>
      </c>
      <c r="N23" s="141">
        <f t="shared" si="5"/>
        <v>0</v>
      </c>
      <c r="O23" s="142">
        <f t="shared" si="5"/>
        <v>0</v>
      </c>
      <c r="P23" s="116">
        <f t="shared" si="5"/>
        <v>0</v>
      </c>
      <c r="Q23" s="49">
        <f t="shared" si="5"/>
        <v>0</v>
      </c>
    </row>
    <row r="24" spans="1:17" ht="33.75" customHeight="1" x14ac:dyDescent="0.35">
      <c r="A24" s="37" t="s">
        <v>20</v>
      </c>
      <c r="B24" s="40" t="s">
        <v>102</v>
      </c>
      <c r="C24" s="104" t="s">
        <v>543</v>
      </c>
      <c r="D24" s="67">
        <v>22301</v>
      </c>
      <c r="E24" s="104" t="s">
        <v>69</v>
      </c>
      <c r="F24" s="133">
        <f t="shared" ref="F24:F27" si="6">SUM(G24:Q24)</f>
        <v>0</v>
      </c>
      <c r="G24" s="133"/>
      <c r="H24" s="133"/>
      <c r="I24" s="133"/>
      <c r="J24" s="133"/>
      <c r="K24" s="133"/>
      <c r="L24" s="133"/>
      <c r="M24" s="133"/>
      <c r="N24" s="133"/>
      <c r="O24" s="134"/>
      <c r="P24" s="112"/>
      <c r="Q24" s="18"/>
    </row>
    <row r="25" spans="1:17" ht="33.75" customHeight="1" x14ac:dyDescent="0.35">
      <c r="A25" s="20" t="s">
        <v>5</v>
      </c>
      <c r="B25" s="40" t="s">
        <v>102</v>
      </c>
      <c r="C25" s="104" t="s">
        <v>49</v>
      </c>
      <c r="D25" s="67">
        <v>22302</v>
      </c>
      <c r="E25" s="104" t="s">
        <v>69</v>
      </c>
      <c r="F25" s="133">
        <f t="shared" si="6"/>
        <v>0</v>
      </c>
      <c r="G25" s="133"/>
      <c r="H25" s="133"/>
      <c r="I25" s="133"/>
      <c r="J25" s="133"/>
      <c r="K25" s="133"/>
      <c r="L25" s="133"/>
      <c r="M25" s="133"/>
      <c r="N25" s="133"/>
      <c r="O25" s="134"/>
      <c r="P25" s="112"/>
      <c r="Q25" s="18"/>
    </row>
    <row r="26" spans="1:17" ht="31.5" customHeight="1" x14ac:dyDescent="0.35">
      <c r="A26" s="37" t="s">
        <v>21</v>
      </c>
      <c r="B26" s="40" t="s">
        <v>102</v>
      </c>
      <c r="C26" s="188" t="s">
        <v>543</v>
      </c>
      <c r="D26" s="67">
        <v>22303</v>
      </c>
      <c r="E26" s="188" t="s">
        <v>69</v>
      </c>
      <c r="F26" s="133">
        <f t="shared" ref="F26" si="7">SUM(G26:Q26)</f>
        <v>0</v>
      </c>
      <c r="G26" s="133"/>
      <c r="H26" s="133"/>
      <c r="I26" s="133"/>
      <c r="J26" s="133"/>
      <c r="K26" s="133"/>
      <c r="L26" s="133"/>
      <c r="M26" s="133"/>
      <c r="N26" s="133"/>
      <c r="O26" s="134"/>
      <c r="P26" s="112"/>
      <c r="Q26" s="18"/>
    </row>
    <row r="27" spans="1:17" ht="31.5" customHeight="1" x14ac:dyDescent="0.35">
      <c r="A27" s="37" t="s">
        <v>665</v>
      </c>
      <c r="B27" s="40" t="s">
        <v>102</v>
      </c>
      <c r="C27" s="188" t="s">
        <v>49</v>
      </c>
      <c r="D27" s="67">
        <v>22304</v>
      </c>
      <c r="E27" s="104" t="s">
        <v>69</v>
      </c>
      <c r="F27" s="133">
        <f t="shared" si="6"/>
        <v>0</v>
      </c>
      <c r="G27" s="133"/>
      <c r="H27" s="133"/>
      <c r="I27" s="133"/>
      <c r="J27" s="133"/>
      <c r="K27" s="133"/>
      <c r="L27" s="133"/>
      <c r="M27" s="133"/>
      <c r="N27" s="133"/>
      <c r="O27" s="134"/>
      <c r="P27" s="112"/>
      <c r="Q27" s="18"/>
    </row>
    <row r="28" spans="1:17" ht="36" customHeight="1" x14ac:dyDescent="0.35">
      <c r="A28" s="857" t="s">
        <v>103</v>
      </c>
      <c r="B28" s="858"/>
      <c r="C28" s="859"/>
      <c r="D28" s="860">
        <v>225</v>
      </c>
      <c r="E28" s="861"/>
      <c r="F28" s="141">
        <f>SUM(F29:F34)</f>
        <v>10227.61</v>
      </c>
      <c r="G28" s="141">
        <f>SUM(G29:G34)</f>
        <v>10227.61</v>
      </c>
      <c r="H28" s="141">
        <f t="shared" ref="H28:Q28" si="8">SUM(H29:H31)</f>
        <v>0</v>
      </c>
      <c r="I28" s="141">
        <f t="shared" si="8"/>
        <v>0</v>
      </c>
      <c r="J28" s="141">
        <f t="shared" si="8"/>
        <v>0</v>
      </c>
      <c r="K28" s="141">
        <f t="shared" si="8"/>
        <v>0</v>
      </c>
      <c r="L28" s="141">
        <f t="shared" si="8"/>
        <v>0</v>
      </c>
      <c r="M28" s="141">
        <f t="shared" si="8"/>
        <v>0</v>
      </c>
      <c r="N28" s="141">
        <f t="shared" si="8"/>
        <v>0</v>
      </c>
      <c r="O28" s="142">
        <f t="shared" si="8"/>
        <v>0</v>
      </c>
      <c r="P28" s="116">
        <f t="shared" si="8"/>
        <v>0</v>
      </c>
      <c r="Q28" s="49">
        <f t="shared" si="8"/>
        <v>0</v>
      </c>
    </row>
    <row r="29" spans="1:17" ht="35.25" customHeight="1" x14ac:dyDescent="0.35">
      <c r="A29" s="42" t="s">
        <v>54</v>
      </c>
      <c r="B29" s="40" t="s">
        <v>100</v>
      </c>
      <c r="C29" s="104" t="s">
        <v>49</v>
      </c>
      <c r="D29" s="67">
        <v>22501</v>
      </c>
      <c r="E29" s="104" t="s">
        <v>104</v>
      </c>
      <c r="F29" s="133">
        <f t="shared" ref="F29:F43" si="9">SUM(G29:Q29)</f>
        <v>0</v>
      </c>
      <c r="G29" s="133"/>
      <c r="H29" s="133"/>
      <c r="I29" s="133"/>
      <c r="J29" s="133"/>
      <c r="K29" s="133"/>
      <c r="L29" s="133"/>
      <c r="M29" s="133"/>
      <c r="N29" s="133"/>
      <c r="O29" s="134"/>
      <c r="P29" s="112"/>
      <c r="Q29" s="18"/>
    </row>
    <row r="30" spans="1:17" ht="23.25" customHeight="1" x14ac:dyDescent="0.35">
      <c r="A30" s="42" t="s">
        <v>58</v>
      </c>
      <c r="B30" s="40" t="s">
        <v>100</v>
      </c>
      <c r="C30" s="104" t="s">
        <v>49</v>
      </c>
      <c r="D30" s="67">
        <v>22502</v>
      </c>
      <c r="E30" s="104" t="s">
        <v>104</v>
      </c>
      <c r="F30" s="133">
        <f t="shared" si="9"/>
        <v>0</v>
      </c>
      <c r="G30" s="133"/>
      <c r="H30" s="133"/>
      <c r="I30" s="133"/>
      <c r="J30" s="133"/>
      <c r="K30" s="133"/>
      <c r="L30" s="133"/>
      <c r="M30" s="133"/>
      <c r="N30" s="133"/>
      <c r="O30" s="134"/>
      <c r="P30" s="112"/>
      <c r="Q30" s="18"/>
    </row>
    <row r="31" spans="1:17" ht="24.75" customHeight="1" x14ac:dyDescent="0.35">
      <c r="A31" s="43" t="s">
        <v>56</v>
      </c>
      <c r="B31" s="40" t="s">
        <v>100</v>
      </c>
      <c r="C31" s="104" t="s">
        <v>49</v>
      </c>
      <c r="D31" s="67">
        <v>22503</v>
      </c>
      <c r="E31" s="104" t="s">
        <v>104</v>
      </c>
      <c r="F31" s="133">
        <f t="shared" si="9"/>
        <v>10227.61</v>
      </c>
      <c r="G31" s="133">
        <v>10227.61</v>
      </c>
      <c r="H31" s="133"/>
      <c r="I31" s="133"/>
      <c r="J31" s="133"/>
      <c r="K31" s="133"/>
      <c r="L31" s="133"/>
      <c r="M31" s="133"/>
      <c r="N31" s="133"/>
      <c r="O31" s="134"/>
      <c r="P31" s="112"/>
      <c r="Q31" s="18"/>
    </row>
    <row r="32" spans="1:17" ht="32.25" customHeight="1" x14ac:dyDescent="0.35">
      <c r="A32" s="43" t="s">
        <v>57</v>
      </c>
      <c r="B32" s="40" t="s">
        <v>100</v>
      </c>
      <c r="C32" s="104" t="s">
        <v>49</v>
      </c>
      <c r="D32" s="67">
        <v>22504</v>
      </c>
      <c r="E32" s="104" t="s">
        <v>104</v>
      </c>
      <c r="F32" s="133">
        <f t="shared" si="9"/>
        <v>0</v>
      </c>
      <c r="G32" s="133"/>
      <c r="H32" s="133"/>
      <c r="I32" s="133"/>
      <c r="J32" s="133"/>
      <c r="K32" s="133"/>
      <c r="L32" s="133"/>
      <c r="M32" s="133"/>
      <c r="N32" s="133"/>
      <c r="O32" s="134"/>
      <c r="P32" s="112"/>
      <c r="Q32" s="18"/>
    </row>
    <row r="33" spans="1:17" ht="25.5" customHeight="1" x14ac:dyDescent="0.35">
      <c r="A33" s="42" t="s">
        <v>55</v>
      </c>
      <c r="B33" s="40" t="s">
        <v>100</v>
      </c>
      <c r="C33" s="104" t="s">
        <v>49</v>
      </c>
      <c r="D33" s="67">
        <v>22505</v>
      </c>
      <c r="E33" s="104" t="s">
        <v>104</v>
      </c>
      <c r="F33" s="133">
        <f t="shared" si="9"/>
        <v>0</v>
      </c>
      <c r="G33" s="133"/>
      <c r="H33" s="133"/>
      <c r="I33" s="133"/>
      <c r="J33" s="133"/>
      <c r="K33" s="133"/>
      <c r="L33" s="133"/>
      <c r="M33" s="133"/>
      <c r="N33" s="133"/>
      <c r="O33" s="134"/>
      <c r="P33" s="112"/>
      <c r="Q33" s="18"/>
    </row>
    <row r="34" spans="1:17" ht="34.5" customHeight="1" x14ac:dyDescent="0.35">
      <c r="A34" s="42" t="s">
        <v>22</v>
      </c>
      <c r="B34" s="40" t="s">
        <v>100</v>
      </c>
      <c r="C34" s="104" t="s">
        <v>49</v>
      </c>
      <c r="D34" s="67">
        <v>22599</v>
      </c>
      <c r="E34" s="104" t="s">
        <v>104</v>
      </c>
      <c r="F34" s="133">
        <f t="shared" si="9"/>
        <v>0</v>
      </c>
      <c r="G34" s="133"/>
      <c r="H34" s="133"/>
      <c r="I34" s="133"/>
      <c r="J34" s="133"/>
      <c r="K34" s="133"/>
      <c r="L34" s="133"/>
      <c r="M34" s="133"/>
      <c r="N34" s="133"/>
      <c r="O34" s="134"/>
      <c r="P34" s="112"/>
      <c r="Q34" s="18"/>
    </row>
    <row r="35" spans="1:17" ht="28.5" customHeight="1" x14ac:dyDescent="0.35">
      <c r="A35" s="862" t="s">
        <v>109</v>
      </c>
      <c r="B35" s="863"/>
      <c r="C35" s="863"/>
      <c r="D35" s="860">
        <v>226</v>
      </c>
      <c r="E35" s="861"/>
      <c r="F35" s="135">
        <f>SUM(G35:Q35)</f>
        <v>0</v>
      </c>
      <c r="G35" s="135">
        <f>SUM(G36:G43)</f>
        <v>0</v>
      </c>
      <c r="H35" s="135">
        <f t="shared" ref="H35:Q35" si="10">SUM(H36:H43)</f>
        <v>0</v>
      </c>
      <c r="I35" s="135">
        <f t="shared" si="10"/>
        <v>0</v>
      </c>
      <c r="J35" s="135">
        <f t="shared" si="10"/>
        <v>0</v>
      </c>
      <c r="K35" s="135">
        <f t="shared" si="10"/>
        <v>0</v>
      </c>
      <c r="L35" s="135">
        <f t="shared" si="10"/>
        <v>0</v>
      </c>
      <c r="M35" s="135">
        <f t="shared" si="10"/>
        <v>0</v>
      </c>
      <c r="N35" s="135">
        <f t="shared" si="10"/>
        <v>0</v>
      </c>
      <c r="O35" s="136">
        <f t="shared" si="10"/>
        <v>0</v>
      </c>
      <c r="P35" s="113">
        <f t="shared" si="10"/>
        <v>0</v>
      </c>
      <c r="Q35" s="50">
        <f t="shared" si="10"/>
        <v>0</v>
      </c>
    </row>
    <row r="36" spans="1:17" ht="24" customHeight="1" x14ac:dyDescent="0.35">
      <c r="A36" s="43" t="s">
        <v>33</v>
      </c>
      <c r="B36" s="40" t="s">
        <v>100</v>
      </c>
      <c r="C36" s="104" t="s">
        <v>49</v>
      </c>
      <c r="D36" s="67">
        <v>22601</v>
      </c>
      <c r="E36" s="104" t="s">
        <v>110</v>
      </c>
      <c r="F36" s="133">
        <f t="shared" si="9"/>
        <v>0</v>
      </c>
      <c r="G36" s="133"/>
      <c r="H36" s="133"/>
      <c r="I36" s="133"/>
      <c r="J36" s="133"/>
      <c r="K36" s="133"/>
      <c r="L36" s="133"/>
      <c r="M36" s="133"/>
      <c r="N36" s="133"/>
      <c r="O36" s="134"/>
      <c r="P36" s="112"/>
      <c r="Q36" s="18"/>
    </row>
    <row r="37" spans="1:17" ht="31.5" customHeight="1" x14ac:dyDescent="0.35">
      <c r="A37" s="42" t="s">
        <v>111</v>
      </c>
      <c r="B37" s="40" t="s">
        <v>100</v>
      </c>
      <c r="C37" s="104" t="s">
        <v>50</v>
      </c>
      <c r="D37" s="67">
        <v>22602</v>
      </c>
      <c r="E37" s="104" t="s">
        <v>110</v>
      </c>
      <c r="F37" s="133">
        <f t="shared" si="9"/>
        <v>0</v>
      </c>
      <c r="G37" s="133"/>
      <c r="H37" s="133"/>
      <c r="I37" s="133"/>
      <c r="J37" s="133"/>
      <c r="K37" s="133"/>
      <c r="L37" s="133"/>
      <c r="M37" s="133"/>
      <c r="N37" s="133"/>
      <c r="O37" s="134"/>
      <c r="P37" s="112"/>
      <c r="Q37" s="18"/>
    </row>
    <row r="38" spans="1:17" ht="34.5" customHeight="1" x14ac:dyDescent="0.35">
      <c r="A38" s="42" t="s">
        <v>114</v>
      </c>
      <c r="B38" s="40" t="s">
        <v>100</v>
      </c>
      <c r="C38" s="104" t="s">
        <v>115</v>
      </c>
      <c r="D38" s="67">
        <v>22602</v>
      </c>
      <c r="E38" s="104" t="s">
        <v>110</v>
      </c>
      <c r="F38" s="133">
        <f t="shared" si="9"/>
        <v>0</v>
      </c>
      <c r="G38" s="133"/>
      <c r="H38" s="133"/>
      <c r="I38" s="133"/>
      <c r="J38" s="133"/>
      <c r="K38" s="133"/>
      <c r="L38" s="133"/>
      <c r="M38" s="133"/>
      <c r="N38" s="133"/>
      <c r="O38" s="134"/>
      <c r="P38" s="112"/>
      <c r="Q38" s="18"/>
    </row>
    <row r="39" spans="1:17" ht="27.75" customHeight="1" x14ac:dyDescent="0.35">
      <c r="A39" s="42" t="s">
        <v>23</v>
      </c>
      <c r="B39" s="40" t="s">
        <v>100</v>
      </c>
      <c r="C39" s="104" t="s">
        <v>49</v>
      </c>
      <c r="D39" s="67">
        <v>22603</v>
      </c>
      <c r="E39" s="104" t="s">
        <v>110</v>
      </c>
      <c r="F39" s="133">
        <f t="shared" si="9"/>
        <v>0</v>
      </c>
      <c r="G39" s="133"/>
      <c r="H39" s="133"/>
      <c r="I39" s="133"/>
      <c r="J39" s="133"/>
      <c r="K39" s="133"/>
      <c r="L39" s="133"/>
      <c r="M39" s="133"/>
      <c r="N39" s="133"/>
      <c r="O39" s="134"/>
      <c r="P39" s="112"/>
      <c r="Q39" s="18"/>
    </row>
    <row r="40" spans="1:17" ht="34.5" customHeight="1" x14ac:dyDescent="0.35">
      <c r="A40" s="42" t="s">
        <v>24</v>
      </c>
      <c r="B40" s="40" t="s">
        <v>100</v>
      </c>
      <c r="C40" s="104" t="s">
        <v>49</v>
      </c>
      <c r="D40" s="67">
        <v>22605</v>
      </c>
      <c r="E40" s="104" t="s">
        <v>110</v>
      </c>
      <c r="F40" s="133">
        <f>SUM(G40:Q40)</f>
        <v>0</v>
      </c>
      <c r="G40" s="133"/>
      <c r="H40" s="133"/>
      <c r="I40" s="133"/>
      <c r="J40" s="133"/>
      <c r="K40" s="133"/>
      <c r="L40" s="133"/>
      <c r="M40" s="133"/>
      <c r="N40" s="133"/>
      <c r="O40" s="134"/>
      <c r="P40" s="112"/>
      <c r="Q40" s="18"/>
    </row>
    <row r="41" spans="1:17" ht="51" customHeight="1" x14ac:dyDescent="0.35">
      <c r="A41" s="42" t="s">
        <v>116</v>
      </c>
      <c r="B41" s="40" t="s">
        <v>100</v>
      </c>
      <c r="C41" s="104" t="s">
        <v>50</v>
      </c>
      <c r="D41" s="67">
        <v>22606</v>
      </c>
      <c r="E41" s="104" t="s">
        <v>110</v>
      </c>
      <c r="F41" s="133">
        <f>SUM(G41:Q41)</f>
        <v>0</v>
      </c>
      <c r="G41" s="133"/>
      <c r="H41" s="133"/>
      <c r="I41" s="133"/>
      <c r="J41" s="133"/>
      <c r="K41" s="133"/>
      <c r="L41" s="133"/>
      <c r="M41" s="133"/>
      <c r="N41" s="133"/>
      <c r="O41" s="134"/>
      <c r="P41" s="112"/>
      <c r="Q41" s="18"/>
    </row>
    <row r="42" spans="1:17" ht="49.5" customHeight="1" x14ac:dyDescent="0.35">
      <c r="A42" s="42" t="s">
        <v>117</v>
      </c>
      <c r="B42" s="40" t="s">
        <v>100</v>
      </c>
      <c r="C42" s="104" t="s">
        <v>50</v>
      </c>
      <c r="D42" s="67">
        <v>22699</v>
      </c>
      <c r="E42" s="104" t="s">
        <v>110</v>
      </c>
      <c r="F42" s="133">
        <f>SUM(G42:Q42)</f>
        <v>0</v>
      </c>
      <c r="G42" s="133"/>
      <c r="H42" s="133"/>
      <c r="I42" s="133"/>
      <c r="J42" s="133"/>
      <c r="K42" s="133"/>
      <c r="L42" s="133"/>
      <c r="M42" s="133"/>
      <c r="N42" s="133"/>
      <c r="O42" s="134"/>
      <c r="P42" s="112"/>
      <c r="Q42" s="18"/>
    </row>
    <row r="43" spans="1:17" ht="32.25" customHeight="1" x14ac:dyDescent="0.35">
      <c r="A43" s="42" t="s">
        <v>25</v>
      </c>
      <c r="B43" s="40" t="s">
        <v>100</v>
      </c>
      <c r="C43" s="104" t="s">
        <v>49</v>
      </c>
      <c r="D43" s="67">
        <v>22699</v>
      </c>
      <c r="E43" s="104" t="s">
        <v>110</v>
      </c>
      <c r="F43" s="133">
        <f t="shared" si="9"/>
        <v>0</v>
      </c>
      <c r="G43" s="133"/>
      <c r="H43" s="133"/>
      <c r="I43" s="133"/>
      <c r="J43" s="133"/>
      <c r="K43" s="133"/>
      <c r="L43" s="133"/>
      <c r="M43" s="133"/>
      <c r="N43" s="133">
        <f>1290-1290</f>
        <v>0</v>
      </c>
      <c r="O43" s="134"/>
      <c r="P43" s="112"/>
      <c r="Q43" s="36"/>
    </row>
    <row r="44" spans="1:17" ht="28.5" customHeight="1" x14ac:dyDescent="0.35">
      <c r="A44" s="872" t="s">
        <v>121</v>
      </c>
      <c r="B44" s="873"/>
      <c r="C44" s="873"/>
      <c r="D44" s="874">
        <v>266</v>
      </c>
      <c r="E44" s="875"/>
      <c r="F44" s="139">
        <f>SUM(G44:Q44)</f>
        <v>0</v>
      </c>
      <c r="G44" s="139">
        <f>SUM(G45:G47)</f>
        <v>0</v>
      </c>
      <c r="H44" s="139">
        <f t="shared" ref="H44:Q44" si="11">SUM(H45:H47)</f>
        <v>0</v>
      </c>
      <c r="I44" s="139">
        <f t="shared" si="11"/>
        <v>0</v>
      </c>
      <c r="J44" s="139">
        <f t="shared" si="11"/>
        <v>0</v>
      </c>
      <c r="K44" s="139">
        <f t="shared" si="11"/>
        <v>0</v>
      </c>
      <c r="L44" s="139">
        <f t="shared" si="11"/>
        <v>0</v>
      </c>
      <c r="M44" s="139">
        <f t="shared" si="11"/>
        <v>0</v>
      </c>
      <c r="N44" s="139">
        <f t="shared" si="11"/>
        <v>0</v>
      </c>
      <c r="O44" s="140">
        <f t="shared" si="11"/>
        <v>0</v>
      </c>
      <c r="P44" s="115">
        <f t="shared" si="11"/>
        <v>0</v>
      </c>
      <c r="Q44" s="46">
        <f t="shared" si="11"/>
        <v>0</v>
      </c>
    </row>
    <row r="45" spans="1:17" ht="39.75" customHeight="1" x14ac:dyDescent="0.35">
      <c r="A45" s="42" t="s">
        <v>118</v>
      </c>
      <c r="B45" s="40" t="s">
        <v>96</v>
      </c>
      <c r="C45" s="104" t="s">
        <v>47</v>
      </c>
      <c r="D45" s="67">
        <v>26600</v>
      </c>
      <c r="E45" s="104" t="s">
        <v>91</v>
      </c>
      <c r="F45" s="133">
        <f>SUM(G45:Q45)</f>
        <v>0</v>
      </c>
      <c r="G45" s="133"/>
      <c r="H45" s="133"/>
      <c r="I45" s="133"/>
      <c r="J45" s="133"/>
      <c r="K45" s="133"/>
      <c r="L45" s="133"/>
      <c r="M45" s="133"/>
      <c r="N45" s="133"/>
      <c r="O45" s="134"/>
      <c r="P45" s="112"/>
      <c r="Q45" s="18"/>
    </row>
    <row r="46" spans="1:17" ht="36.75" customHeight="1" x14ac:dyDescent="0.35">
      <c r="A46" s="42" t="s">
        <v>119</v>
      </c>
      <c r="B46" s="40" t="s">
        <v>100</v>
      </c>
      <c r="C46" s="104" t="s">
        <v>50</v>
      </c>
      <c r="D46" s="67">
        <v>26601</v>
      </c>
      <c r="E46" s="104" t="s">
        <v>91</v>
      </c>
      <c r="F46" s="133">
        <f>SUM(G46:Q46)</f>
        <v>0</v>
      </c>
      <c r="G46" s="133"/>
      <c r="H46" s="133"/>
      <c r="I46" s="133"/>
      <c r="J46" s="133"/>
      <c r="K46" s="133"/>
      <c r="L46" s="133"/>
      <c r="M46" s="133"/>
      <c r="N46" s="133"/>
      <c r="O46" s="134"/>
      <c r="P46" s="112"/>
      <c r="Q46" s="18"/>
    </row>
    <row r="47" spans="1:17" ht="52.5" customHeight="1" x14ac:dyDescent="0.35">
      <c r="A47" s="42" t="s">
        <v>120</v>
      </c>
      <c r="B47" s="40" t="s">
        <v>99</v>
      </c>
      <c r="C47" s="104" t="s">
        <v>50</v>
      </c>
      <c r="D47" s="67">
        <v>26602</v>
      </c>
      <c r="E47" s="104" t="s">
        <v>91</v>
      </c>
      <c r="F47" s="133">
        <f>SUM(G47:Q47)</f>
        <v>0</v>
      </c>
      <c r="G47" s="133"/>
      <c r="H47" s="133"/>
      <c r="I47" s="133"/>
      <c r="J47" s="133"/>
      <c r="K47" s="133"/>
      <c r="L47" s="133"/>
      <c r="M47" s="133"/>
      <c r="N47" s="133"/>
      <c r="O47" s="134"/>
      <c r="P47" s="112"/>
      <c r="Q47" s="18"/>
    </row>
    <row r="48" spans="1:17" s="1" customFormat="1" ht="26.25" customHeight="1" x14ac:dyDescent="0.35">
      <c r="A48" s="864" t="s">
        <v>31</v>
      </c>
      <c r="B48" s="865"/>
      <c r="C48" s="865"/>
      <c r="D48" s="874">
        <v>290</v>
      </c>
      <c r="E48" s="875"/>
      <c r="F48" s="139">
        <f>SUM(F49:F53)</f>
        <v>0</v>
      </c>
      <c r="G48" s="139">
        <f>SUM(G49:G53)</f>
        <v>0</v>
      </c>
      <c r="H48" s="139">
        <f t="shared" ref="H48:Q48" si="12">SUM(H49:H53)</f>
        <v>0</v>
      </c>
      <c r="I48" s="139">
        <f t="shared" si="12"/>
        <v>0</v>
      </c>
      <c r="J48" s="139">
        <f t="shared" si="12"/>
        <v>0</v>
      </c>
      <c r="K48" s="139">
        <f t="shared" si="12"/>
        <v>0</v>
      </c>
      <c r="L48" s="139">
        <f t="shared" si="12"/>
        <v>0</v>
      </c>
      <c r="M48" s="139">
        <f t="shared" si="12"/>
        <v>0</v>
      </c>
      <c r="N48" s="139">
        <f t="shared" si="12"/>
        <v>0</v>
      </c>
      <c r="O48" s="140">
        <f t="shared" si="12"/>
        <v>0</v>
      </c>
      <c r="P48" s="115">
        <f t="shared" si="12"/>
        <v>0</v>
      </c>
      <c r="Q48" s="46">
        <f t="shared" si="12"/>
        <v>0</v>
      </c>
    </row>
    <row r="49" spans="1:17" ht="30.75" customHeight="1" x14ac:dyDescent="0.35">
      <c r="A49" s="27" t="s">
        <v>122</v>
      </c>
      <c r="B49" s="40" t="s">
        <v>100</v>
      </c>
      <c r="C49" s="104" t="s">
        <v>51</v>
      </c>
      <c r="D49" s="67">
        <v>29001</v>
      </c>
      <c r="E49" s="104" t="s">
        <v>123</v>
      </c>
      <c r="F49" s="133">
        <f t="shared" ref="F49" si="13">SUM(G49:N49)</f>
        <v>0</v>
      </c>
      <c r="G49" s="133"/>
      <c r="H49" s="133"/>
      <c r="I49" s="133"/>
      <c r="J49" s="133"/>
      <c r="K49" s="133"/>
      <c r="L49" s="133"/>
      <c r="M49" s="133"/>
      <c r="N49" s="133"/>
      <c r="O49" s="134"/>
      <c r="P49" s="117"/>
      <c r="Q49" s="29"/>
    </row>
    <row r="50" spans="1:17" ht="30.75" customHeight="1" x14ac:dyDescent="0.35">
      <c r="A50" s="27" t="s">
        <v>124</v>
      </c>
      <c r="B50" s="40" t="s">
        <v>100</v>
      </c>
      <c r="C50" s="104" t="s">
        <v>52</v>
      </c>
      <c r="D50" s="67">
        <v>29001</v>
      </c>
      <c r="E50" s="104" t="s">
        <v>123</v>
      </c>
      <c r="F50" s="133">
        <f t="shared" ref="F50:F69" si="14">SUM(G50:Q50)</f>
        <v>0</v>
      </c>
      <c r="G50" s="133"/>
      <c r="H50" s="133"/>
      <c r="I50" s="133"/>
      <c r="J50" s="133"/>
      <c r="K50" s="133"/>
      <c r="L50" s="133"/>
      <c r="M50" s="133"/>
      <c r="N50" s="133"/>
      <c r="O50" s="134"/>
      <c r="P50" s="112"/>
      <c r="Q50" s="18"/>
    </row>
    <row r="51" spans="1:17" ht="31.5" customHeight="1" x14ac:dyDescent="0.35">
      <c r="A51" s="58" t="s">
        <v>125</v>
      </c>
      <c r="B51" s="40" t="s">
        <v>100</v>
      </c>
      <c r="C51" s="104" t="s">
        <v>53</v>
      </c>
      <c r="D51" s="67">
        <v>29001</v>
      </c>
      <c r="E51" s="104" t="s">
        <v>127</v>
      </c>
      <c r="F51" s="133">
        <f t="shared" si="14"/>
        <v>0</v>
      </c>
      <c r="G51" s="133"/>
      <c r="H51" s="133"/>
      <c r="I51" s="133"/>
      <c r="J51" s="133"/>
      <c r="K51" s="133"/>
      <c r="L51" s="133"/>
      <c r="M51" s="133"/>
      <c r="N51" s="133"/>
      <c r="O51" s="134"/>
      <c r="P51" s="112"/>
      <c r="Q51" s="18"/>
    </row>
    <row r="52" spans="1:17" ht="38.25" customHeight="1" x14ac:dyDescent="0.35">
      <c r="A52" s="58" t="s">
        <v>126</v>
      </c>
      <c r="B52" s="40" t="s">
        <v>100</v>
      </c>
      <c r="C52" s="104" t="s">
        <v>53</v>
      </c>
      <c r="D52" s="67">
        <v>29001</v>
      </c>
      <c r="E52" s="104" t="s">
        <v>128</v>
      </c>
      <c r="F52" s="133">
        <f t="shared" si="14"/>
        <v>0</v>
      </c>
      <c r="G52" s="133"/>
      <c r="H52" s="133"/>
      <c r="I52" s="133"/>
      <c r="J52" s="133"/>
      <c r="K52" s="133"/>
      <c r="L52" s="133"/>
      <c r="M52" s="133"/>
      <c r="N52" s="133"/>
      <c r="O52" s="134"/>
      <c r="P52" s="112"/>
      <c r="Q52" s="18"/>
    </row>
    <row r="53" spans="1:17" ht="34.5" customHeight="1" x14ac:dyDescent="0.35">
      <c r="A53" s="59" t="s">
        <v>130</v>
      </c>
      <c r="B53" s="40" t="s">
        <v>100</v>
      </c>
      <c r="C53" s="104" t="s">
        <v>53</v>
      </c>
      <c r="D53" s="67">
        <v>29001</v>
      </c>
      <c r="E53" s="104" t="s">
        <v>129</v>
      </c>
      <c r="F53" s="133">
        <f t="shared" si="14"/>
        <v>0</v>
      </c>
      <c r="G53" s="133"/>
      <c r="H53" s="133"/>
      <c r="I53" s="133"/>
      <c r="J53" s="133"/>
      <c r="K53" s="133"/>
      <c r="L53" s="133"/>
      <c r="M53" s="133"/>
      <c r="N53" s="133"/>
      <c r="O53" s="134"/>
      <c r="P53" s="112"/>
      <c r="Q53" s="18"/>
    </row>
    <row r="54" spans="1:17" ht="36" customHeight="1" x14ac:dyDescent="0.35">
      <c r="A54" s="872" t="s">
        <v>131</v>
      </c>
      <c r="B54" s="873"/>
      <c r="C54" s="873"/>
      <c r="D54" s="902">
        <v>300</v>
      </c>
      <c r="E54" s="903"/>
      <c r="F54" s="139">
        <f>F55+F60</f>
        <v>0</v>
      </c>
      <c r="G54" s="139">
        <f>G55+G60</f>
        <v>0</v>
      </c>
      <c r="H54" s="139">
        <f t="shared" ref="H54:Q54" si="15">H55+H60</f>
        <v>0</v>
      </c>
      <c r="I54" s="139">
        <f t="shared" si="15"/>
        <v>0</v>
      </c>
      <c r="J54" s="139">
        <f t="shared" si="15"/>
        <v>0</v>
      </c>
      <c r="K54" s="139">
        <f t="shared" si="15"/>
        <v>0</v>
      </c>
      <c r="L54" s="139">
        <f t="shared" si="15"/>
        <v>0</v>
      </c>
      <c r="M54" s="139">
        <f t="shared" si="15"/>
        <v>0</v>
      </c>
      <c r="N54" s="139">
        <f t="shared" si="15"/>
        <v>0</v>
      </c>
      <c r="O54" s="140">
        <f t="shared" si="15"/>
        <v>0</v>
      </c>
      <c r="P54" s="115">
        <f t="shared" si="15"/>
        <v>0</v>
      </c>
      <c r="Q54" s="46">
        <f t="shared" si="15"/>
        <v>0</v>
      </c>
    </row>
    <row r="55" spans="1:17" ht="30.75" customHeight="1" x14ac:dyDescent="0.35">
      <c r="A55" s="857" t="s">
        <v>13</v>
      </c>
      <c r="B55" s="858"/>
      <c r="C55" s="859"/>
      <c r="D55" s="860">
        <v>310</v>
      </c>
      <c r="E55" s="861"/>
      <c r="F55" s="135">
        <f>SUM(G55:Q55)</f>
        <v>0</v>
      </c>
      <c r="G55" s="135">
        <f>SUM(G56:G59)</f>
        <v>0</v>
      </c>
      <c r="H55" s="135">
        <f t="shared" ref="H55:Q55" si="16">SUM(H56:H59)</f>
        <v>0</v>
      </c>
      <c r="I55" s="135">
        <f t="shared" si="16"/>
        <v>0</v>
      </c>
      <c r="J55" s="135">
        <f t="shared" si="16"/>
        <v>0</v>
      </c>
      <c r="K55" s="135">
        <f>SUM(K56:K59)</f>
        <v>0</v>
      </c>
      <c r="L55" s="135">
        <f t="shared" si="16"/>
        <v>0</v>
      </c>
      <c r="M55" s="135">
        <f t="shared" si="16"/>
        <v>0</v>
      </c>
      <c r="N55" s="135">
        <f t="shared" si="16"/>
        <v>0</v>
      </c>
      <c r="O55" s="136">
        <f t="shared" si="16"/>
        <v>0</v>
      </c>
      <c r="P55" s="113">
        <f t="shared" si="16"/>
        <v>0</v>
      </c>
      <c r="Q55" s="50">
        <f t="shared" si="16"/>
        <v>0</v>
      </c>
    </row>
    <row r="56" spans="1:17" ht="27.75" customHeight="1" x14ac:dyDescent="0.35">
      <c r="A56" s="16" t="s">
        <v>132</v>
      </c>
      <c r="B56" s="40" t="s">
        <v>133</v>
      </c>
      <c r="C56" s="104" t="s">
        <v>49</v>
      </c>
      <c r="D56" s="67">
        <v>31003</v>
      </c>
      <c r="E56" s="104" t="s">
        <v>61</v>
      </c>
      <c r="F56" s="133">
        <f t="shared" ref="F56" si="17">SUM(G56:Q56)</f>
        <v>0</v>
      </c>
      <c r="G56" s="133"/>
      <c r="H56" s="133"/>
      <c r="I56" s="133"/>
      <c r="J56" s="133"/>
      <c r="K56" s="133"/>
      <c r="L56" s="133"/>
      <c r="M56" s="133"/>
      <c r="N56" s="133"/>
      <c r="O56" s="134"/>
      <c r="P56" s="112"/>
      <c r="Q56" s="18"/>
    </row>
    <row r="57" spans="1:17" ht="25.5" customHeight="1" x14ac:dyDescent="0.35">
      <c r="A57" s="16" t="s">
        <v>6</v>
      </c>
      <c r="B57" s="40" t="s">
        <v>133</v>
      </c>
      <c r="C57" s="104" t="s">
        <v>49</v>
      </c>
      <c r="D57" s="67">
        <v>31004</v>
      </c>
      <c r="E57" s="104" t="s">
        <v>61</v>
      </c>
      <c r="F57" s="133">
        <f>SUM(G57:Q57)</f>
        <v>0</v>
      </c>
      <c r="G57" s="133"/>
      <c r="H57" s="133"/>
      <c r="I57" s="133"/>
      <c r="J57" s="133"/>
      <c r="K57" s="133"/>
      <c r="L57" s="133"/>
      <c r="M57" s="133"/>
      <c r="N57" s="133"/>
      <c r="O57" s="134"/>
      <c r="P57" s="112"/>
      <c r="Q57" s="18"/>
    </row>
    <row r="58" spans="1:17" ht="28.5" customHeight="1" x14ac:dyDescent="0.35">
      <c r="A58" s="16" t="s">
        <v>7</v>
      </c>
      <c r="B58" s="40" t="s">
        <v>133</v>
      </c>
      <c r="C58" s="104" t="s">
        <v>49</v>
      </c>
      <c r="D58" s="67">
        <v>31005</v>
      </c>
      <c r="E58" s="104" t="s">
        <v>61</v>
      </c>
      <c r="F58" s="133">
        <f t="shared" ref="F58:F59" si="18">SUM(G58:Q58)</f>
        <v>0</v>
      </c>
      <c r="G58" s="133"/>
      <c r="H58" s="133"/>
      <c r="I58" s="133"/>
      <c r="J58" s="133"/>
      <c r="K58" s="133"/>
      <c r="L58" s="133"/>
      <c r="M58" s="133"/>
      <c r="N58" s="133"/>
      <c r="O58" s="134"/>
      <c r="P58" s="112"/>
      <c r="Q58" s="18"/>
    </row>
    <row r="59" spans="1:17" ht="36.75" customHeight="1" x14ac:dyDescent="0.35">
      <c r="A59" s="16" t="s">
        <v>8</v>
      </c>
      <c r="B59" s="40" t="s">
        <v>133</v>
      </c>
      <c r="C59" s="104" t="s">
        <v>49</v>
      </c>
      <c r="D59" s="67">
        <v>31099</v>
      </c>
      <c r="E59" s="104" t="s">
        <v>61</v>
      </c>
      <c r="F59" s="133">
        <f t="shared" si="18"/>
        <v>0</v>
      </c>
      <c r="G59" s="133"/>
      <c r="H59" s="133"/>
      <c r="I59" s="133"/>
      <c r="J59" s="133"/>
      <c r="K59" s="133"/>
      <c r="L59" s="133"/>
      <c r="M59" s="133"/>
      <c r="N59" s="133"/>
      <c r="O59" s="134"/>
      <c r="P59" s="112"/>
      <c r="Q59" s="18"/>
    </row>
    <row r="60" spans="1:17" ht="39.75" customHeight="1" x14ac:dyDescent="0.35">
      <c r="A60" s="857" t="s">
        <v>14</v>
      </c>
      <c r="B60" s="858"/>
      <c r="C60" s="859"/>
      <c r="D60" s="860">
        <v>340</v>
      </c>
      <c r="E60" s="861"/>
      <c r="F60" s="135">
        <f>SUM(G60:N60)</f>
        <v>0</v>
      </c>
      <c r="G60" s="135">
        <f>G61+G62+G63+G64+G65+G66</f>
        <v>0</v>
      </c>
      <c r="H60" s="135">
        <f t="shared" ref="H60:Q60" si="19">H61+H62+H63+H64+H65+H66</f>
        <v>0</v>
      </c>
      <c r="I60" s="135">
        <f t="shared" si="19"/>
        <v>0</v>
      </c>
      <c r="J60" s="135">
        <f t="shared" si="19"/>
        <v>0</v>
      </c>
      <c r="K60" s="135">
        <f t="shared" si="19"/>
        <v>0</v>
      </c>
      <c r="L60" s="135">
        <f t="shared" si="19"/>
        <v>0</v>
      </c>
      <c r="M60" s="135">
        <f t="shared" si="19"/>
        <v>0</v>
      </c>
      <c r="N60" s="135">
        <f t="shared" si="19"/>
        <v>0</v>
      </c>
      <c r="O60" s="136">
        <f t="shared" si="19"/>
        <v>0</v>
      </c>
      <c r="P60" s="113">
        <f t="shared" si="19"/>
        <v>0</v>
      </c>
      <c r="Q60" s="50">
        <f t="shared" si="19"/>
        <v>0</v>
      </c>
    </row>
    <row r="61" spans="1:17" ht="31.5" customHeight="1" x14ac:dyDescent="0.35">
      <c r="A61" s="42" t="s">
        <v>3</v>
      </c>
      <c r="B61" s="40" t="s">
        <v>100</v>
      </c>
      <c r="C61" s="104" t="s">
        <v>49</v>
      </c>
      <c r="D61" s="67">
        <v>34001</v>
      </c>
      <c r="E61" s="104" t="s">
        <v>82</v>
      </c>
      <c r="F61" s="133">
        <f t="shared" si="14"/>
        <v>0</v>
      </c>
      <c r="G61" s="133"/>
      <c r="H61" s="133"/>
      <c r="I61" s="133"/>
      <c r="J61" s="133"/>
      <c r="K61" s="133"/>
      <c r="L61" s="133"/>
      <c r="M61" s="133"/>
      <c r="N61" s="133"/>
      <c r="O61" s="134"/>
      <c r="P61" s="118"/>
      <c r="Q61" s="18">
        <f>525-525</f>
        <v>0</v>
      </c>
    </row>
    <row r="62" spans="1:17" ht="24.75" customHeight="1" x14ac:dyDescent="0.35">
      <c r="A62" s="42" t="s">
        <v>1</v>
      </c>
      <c r="B62" s="40" t="s">
        <v>100</v>
      </c>
      <c r="C62" s="104" t="s">
        <v>49</v>
      </c>
      <c r="D62" s="67">
        <v>34002</v>
      </c>
      <c r="E62" s="104" t="s">
        <v>83</v>
      </c>
      <c r="F62" s="133">
        <f>SUM(G62:Q62)</f>
        <v>0</v>
      </c>
      <c r="G62" s="133"/>
      <c r="H62" s="133"/>
      <c r="I62" s="133"/>
      <c r="J62" s="133"/>
      <c r="K62" s="133"/>
      <c r="L62" s="133"/>
      <c r="M62" s="133"/>
      <c r="N62" s="133"/>
      <c r="O62" s="134"/>
      <c r="P62" s="112"/>
      <c r="Q62" s="18"/>
    </row>
    <row r="63" spans="1:17" ht="24.75" customHeight="1" x14ac:dyDescent="0.35">
      <c r="A63" s="42" t="s">
        <v>134</v>
      </c>
      <c r="B63" s="40" t="s">
        <v>135</v>
      </c>
      <c r="C63" s="104" t="s">
        <v>49</v>
      </c>
      <c r="D63" s="67">
        <v>34002</v>
      </c>
      <c r="E63" s="104" t="s">
        <v>83</v>
      </c>
      <c r="F63" s="133">
        <f>SUM(G63:Q63)</f>
        <v>0</v>
      </c>
      <c r="G63" s="133"/>
      <c r="H63" s="133"/>
      <c r="I63" s="133"/>
      <c r="J63" s="133"/>
      <c r="K63" s="133"/>
      <c r="L63" s="133"/>
      <c r="M63" s="133"/>
      <c r="N63" s="133"/>
      <c r="O63" s="134"/>
      <c r="P63" s="112"/>
      <c r="Q63" s="18"/>
    </row>
    <row r="64" spans="1:17" ht="23.25" customHeight="1" x14ac:dyDescent="0.35">
      <c r="A64" s="42" t="s">
        <v>27</v>
      </c>
      <c r="B64" s="40" t="s">
        <v>100</v>
      </c>
      <c r="C64" s="104" t="s">
        <v>49</v>
      </c>
      <c r="D64" s="67">
        <v>34003</v>
      </c>
      <c r="E64" s="104" t="s">
        <v>84</v>
      </c>
      <c r="F64" s="133">
        <f t="shared" si="14"/>
        <v>0</v>
      </c>
      <c r="G64" s="133"/>
      <c r="H64" s="133"/>
      <c r="I64" s="133"/>
      <c r="J64" s="133"/>
      <c r="K64" s="133"/>
      <c r="L64" s="133"/>
      <c r="M64" s="133"/>
      <c r="N64" s="133"/>
      <c r="O64" s="134"/>
      <c r="P64" s="112"/>
      <c r="Q64" s="18"/>
    </row>
    <row r="65" spans="1:17" ht="24" customHeight="1" x14ac:dyDescent="0.35">
      <c r="A65" s="42" t="s">
        <v>28</v>
      </c>
      <c r="B65" s="40" t="s">
        <v>100</v>
      </c>
      <c r="C65" s="104" t="s">
        <v>49</v>
      </c>
      <c r="D65" s="67">
        <v>34004</v>
      </c>
      <c r="E65" s="104" t="s">
        <v>85</v>
      </c>
      <c r="F65" s="133">
        <f t="shared" si="14"/>
        <v>0</v>
      </c>
      <c r="G65" s="133"/>
      <c r="H65" s="133"/>
      <c r="I65" s="133"/>
      <c r="J65" s="133"/>
      <c r="K65" s="133"/>
      <c r="L65" s="133"/>
      <c r="M65" s="133"/>
      <c r="N65" s="133"/>
      <c r="O65" s="134"/>
      <c r="P65" s="112"/>
      <c r="Q65" s="18"/>
    </row>
    <row r="66" spans="1:17" ht="31.5" customHeight="1" x14ac:dyDescent="0.35">
      <c r="A66" s="895" t="s">
        <v>29</v>
      </c>
      <c r="B66" s="896"/>
      <c r="C66" s="897"/>
      <c r="D66" s="898">
        <v>34099</v>
      </c>
      <c r="E66" s="899"/>
      <c r="F66" s="143">
        <f>SUM(F67:F69)</f>
        <v>0</v>
      </c>
      <c r="G66" s="143">
        <f>SUM(G67:G69)</f>
        <v>0</v>
      </c>
      <c r="H66" s="143">
        <f t="shared" ref="H66:Q66" si="20">SUM(H67:H69)</f>
        <v>0</v>
      </c>
      <c r="I66" s="143">
        <f t="shared" si="20"/>
        <v>0</v>
      </c>
      <c r="J66" s="143">
        <f t="shared" si="20"/>
        <v>0</v>
      </c>
      <c r="K66" s="143">
        <f t="shared" si="20"/>
        <v>0</v>
      </c>
      <c r="L66" s="143">
        <f t="shared" si="20"/>
        <v>0</v>
      </c>
      <c r="M66" s="143">
        <f t="shared" si="20"/>
        <v>0</v>
      </c>
      <c r="N66" s="143">
        <f t="shared" si="20"/>
        <v>0</v>
      </c>
      <c r="O66" s="144">
        <f t="shared" si="20"/>
        <v>0</v>
      </c>
      <c r="P66" s="119">
        <f t="shared" si="20"/>
        <v>0</v>
      </c>
      <c r="Q66" s="55">
        <f t="shared" si="20"/>
        <v>0</v>
      </c>
    </row>
    <row r="67" spans="1:17" ht="30" customHeight="1" x14ac:dyDescent="0.35">
      <c r="A67" s="42" t="s">
        <v>136</v>
      </c>
      <c r="B67" s="40" t="s">
        <v>100</v>
      </c>
      <c r="C67" s="104" t="s">
        <v>49</v>
      </c>
      <c r="D67" s="67">
        <v>34099</v>
      </c>
      <c r="E67" s="104" t="s">
        <v>137</v>
      </c>
      <c r="F67" s="133">
        <f t="shared" ref="F67" si="21">SUM(G67:Q67)</f>
        <v>0</v>
      </c>
      <c r="G67" s="133"/>
      <c r="H67" s="133"/>
      <c r="I67" s="133"/>
      <c r="J67" s="133"/>
      <c r="K67" s="133"/>
      <c r="L67" s="133"/>
      <c r="M67" s="133"/>
      <c r="N67" s="133"/>
      <c r="O67" s="134"/>
      <c r="P67" s="112"/>
      <c r="Q67" s="18"/>
    </row>
    <row r="68" spans="1:17" ht="35.25" customHeight="1" x14ac:dyDescent="0.35">
      <c r="A68" s="42" t="s">
        <v>138</v>
      </c>
      <c r="B68" s="40" t="s">
        <v>100</v>
      </c>
      <c r="C68" s="104" t="s">
        <v>49</v>
      </c>
      <c r="D68" s="67">
        <v>34099</v>
      </c>
      <c r="E68" s="104" t="s">
        <v>86</v>
      </c>
      <c r="F68" s="133">
        <f t="shared" si="14"/>
        <v>0</v>
      </c>
      <c r="G68" s="133"/>
      <c r="H68" s="133"/>
      <c r="I68" s="133"/>
      <c r="J68" s="133"/>
      <c r="K68" s="133"/>
      <c r="L68" s="133"/>
      <c r="M68" s="133"/>
      <c r="N68" s="133"/>
      <c r="O68" s="134"/>
      <c r="P68" s="112"/>
      <c r="Q68" s="18"/>
    </row>
    <row r="69" spans="1:17" ht="37.5" customHeight="1" thickBot="1" x14ac:dyDescent="0.4">
      <c r="A69" s="60" t="s">
        <v>88</v>
      </c>
      <c r="B69" s="61" t="s">
        <v>100</v>
      </c>
      <c r="C69" s="105" t="s">
        <v>49</v>
      </c>
      <c r="D69" s="62">
        <v>34099</v>
      </c>
      <c r="E69" s="105" t="s">
        <v>87</v>
      </c>
      <c r="F69" s="145">
        <f t="shared" si="14"/>
        <v>0</v>
      </c>
      <c r="G69" s="145"/>
      <c r="H69" s="145"/>
      <c r="I69" s="145"/>
      <c r="J69" s="145"/>
      <c r="K69" s="145"/>
      <c r="L69" s="145"/>
      <c r="M69" s="145"/>
      <c r="N69" s="145"/>
      <c r="O69" s="146"/>
      <c r="P69" s="120"/>
      <c r="Q69" s="19"/>
    </row>
    <row r="70" spans="1:17" ht="31.5" customHeight="1" thickBot="1" x14ac:dyDescent="0.35">
      <c r="A70" s="892" t="s">
        <v>498</v>
      </c>
      <c r="B70" s="893"/>
      <c r="C70" s="893"/>
      <c r="D70" s="893"/>
      <c r="E70" s="894"/>
      <c r="F70" s="147">
        <f>F21+F22+F23+F28+F36+F39+F40+F43+F54</f>
        <v>10227.61</v>
      </c>
      <c r="G70" s="4"/>
      <c r="H70" s="4"/>
      <c r="I70" s="4"/>
      <c r="J70" s="4"/>
      <c r="K70" s="4"/>
      <c r="L70" s="4"/>
      <c r="M70" s="4"/>
      <c r="N70" s="4"/>
      <c r="O70" s="4"/>
      <c r="P70" s="4"/>
      <c r="Q70" s="4"/>
    </row>
    <row r="71" spans="1:17" ht="8.25" customHeight="1" x14ac:dyDescent="0.2">
      <c r="A71" s="5"/>
      <c r="B71" s="7"/>
      <c r="C71" s="7"/>
      <c r="D71" s="3"/>
      <c r="E71" s="3"/>
      <c r="F71" s="4"/>
      <c r="G71" s="4"/>
      <c r="H71" s="4"/>
      <c r="I71" s="4"/>
      <c r="J71" s="4"/>
      <c r="K71" s="4"/>
      <c r="L71" s="4"/>
      <c r="M71" s="4"/>
      <c r="N71" s="4"/>
      <c r="O71" s="4"/>
      <c r="P71" s="4"/>
      <c r="Q71" s="4"/>
    </row>
    <row r="72" spans="1:17" s="12" customFormat="1" ht="15.75" customHeight="1" x14ac:dyDescent="0.25">
      <c r="A72" s="21"/>
      <c r="B72" s="11"/>
      <c r="C72" s="10"/>
      <c r="D72" s="11"/>
      <c r="E72" s="11"/>
      <c r="G72" s="11"/>
    </row>
  </sheetData>
  <mergeCells count="49">
    <mergeCell ref="A70:E70"/>
    <mergeCell ref="A66:C66"/>
    <mergeCell ref="D66:E66"/>
    <mergeCell ref="A23:C23"/>
    <mergeCell ref="D23:E23"/>
    <mergeCell ref="A28:C28"/>
    <mergeCell ref="D28:E28"/>
    <mergeCell ref="A35:C35"/>
    <mergeCell ref="D35:E35"/>
    <mergeCell ref="A44:C44"/>
    <mergeCell ref="D44:E44"/>
    <mergeCell ref="A48:C48"/>
    <mergeCell ref="D48:E48"/>
    <mergeCell ref="A54:C54"/>
    <mergeCell ref="D54:E54"/>
    <mergeCell ref="A55:C55"/>
    <mergeCell ref="A12:F12"/>
    <mergeCell ref="A14:C14"/>
    <mergeCell ref="D14:E14"/>
    <mergeCell ref="K8:K11"/>
    <mergeCell ref="A13:E13"/>
    <mergeCell ref="J9:J11"/>
    <mergeCell ref="F8:F11"/>
    <mergeCell ref="I9:I11"/>
    <mergeCell ref="B8:B11"/>
    <mergeCell ref="G8:G11"/>
    <mergeCell ref="H8:H11"/>
    <mergeCell ref="I8:J8"/>
    <mergeCell ref="A60:C60"/>
    <mergeCell ref="D60:E60"/>
    <mergeCell ref="A18:C18"/>
    <mergeCell ref="D18:E18"/>
    <mergeCell ref="A20:C20"/>
    <mergeCell ref="D20:E20"/>
    <mergeCell ref="D55:E55"/>
    <mergeCell ref="A1:B1"/>
    <mergeCell ref="D1:E1"/>
    <mergeCell ref="A8:A11"/>
    <mergeCell ref="C8:C11"/>
    <mergeCell ref="D8:D11"/>
    <mergeCell ref="E8:E11"/>
    <mergeCell ref="A2:N3"/>
    <mergeCell ref="A5:Q6"/>
    <mergeCell ref="L8:L11"/>
    <mergeCell ref="M8:M11"/>
    <mergeCell ref="N8:N11"/>
    <mergeCell ref="O8:O11"/>
    <mergeCell ref="P8:P11"/>
    <mergeCell ref="Q8:Q11"/>
  </mergeCells>
  <pageMargins left="0.59055118110236227" right="0" top="0.9055118110236221" bottom="0.31496062992125984" header="0.31496062992125984" footer="0.31496062992125984"/>
  <pageSetup paperSize="9" scale="28" orientation="portrait" horizontalDpi="4294967295" verticalDpi="4294967295"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0"/>
  <sheetViews>
    <sheetView view="pageBreakPreview" zoomScale="60" zoomScaleNormal="64" workbookViewId="0">
      <selection activeCell="K61" sqref="K61"/>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7" width="23.5703125" customWidth="1"/>
    <col min="8" max="8" width="22.85546875" customWidth="1"/>
    <col min="9" max="9" width="22" hidden="1" customWidth="1"/>
    <col min="10" max="10" width="20.5703125" hidden="1" customWidth="1"/>
    <col min="11" max="11" width="21.42578125" customWidth="1"/>
    <col min="12" max="12" width="24.42578125" customWidth="1"/>
    <col min="13" max="13" width="23.85546875" hidden="1" customWidth="1"/>
    <col min="14" max="14" width="24.7109375" hidden="1" customWidth="1"/>
    <col min="15" max="15" width="9.140625" hidden="1" customWidth="1"/>
    <col min="16" max="16" width="20.140625" hidden="1" customWidth="1"/>
  </cols>
  <sheetData>
    <row r="1" spans="1:17" s="2" customFormat="1" ht="18" x14ac:dyDescent="0.2">
      <c r="A1" s="840"/>
      <c r="B1" s="840"/>
      <c r="C1" s="121"/>
      <c r="D1" s="841"/>
      <c r="E1" s="841"/>
      <c r="F1" s="8"/>
      <c r="G1" s="8"/>
      <c r="H1" s="8"/>
      <c r="I1" s="8"/>
      <c r="J1" s="8"/>
      <c r="K1" s="8"/>
      <c r="L1" s="8"/>
      <c r="M1" s="8"/>
      <c r="N1" s="8"/>
    </row>
    <row r="2" spans="1:17" s="2" customFormat="1" ht="21" customHeight="1" x14ac:dyDescent="0.2">
      <c r="A2" s="846" t="s">
        <v>637</v>
      </c>
      <c r="B2" s="846"/>
      <c r="C2" s="846"/>
      <c r="D2" s="846"/>
      <c r="E2" s="846"/>
      <c r="F2" s="846"/>
      <c r="G2" s="846"/>
      <c r="H2" s="846"/>
      <c r="I2" s="846"/>
      <c r="J2" s="846"/>
      <c r="K2" s="846"/>
      <c r="L2" s="846"/>
    </row>
    <row r="3" spans="1:17" s="2" customFormat="1" ht="18" customHeight="1" x14ac:dyDescent="0.2">
      <c r="A3" s="846"/>
      <c r="B3" s="846"/>
      <c r="C3" s="846"/>
      <c r="D3" s="846"/>
      <c r="E3" s="846"/>
      <c r="F3" s="846"/>
      <c r="G3" s="846"/>
      <c r="H3" s="846"/>
      <c r="I3" s="846"/>
      <c r="J3" s="846"/>
      <c r="K3" s="846"/>
      <c r="L3" s="846"/>
    </row>
    <row r="4" spans="1:17" s="2" customFormat="1" ht="9.75" customHeight="1" x14ac:dyDescent="0.4">
      <c r="A4" s="28"/>
      <c r="B4" s="28"/>
      <c r="C4" s="28"/>
      <c r="D4" s="28"/>
      <c r="E4" s="28"/>
      <c r="F4" s="28"/>
      <c r="G4" s="28"/>
      <c r="H4" s="28"/>
      <c r="I4" s="28"/>
      <c r="J4" s="28"/>
      <c r="K4" s="28"/>
      <c r="L4" s="28"/>
    </row>
    <row r="5" spans="1:17" s="2" customFormat="1" ht="15.75" customHeight="1" x14ac:dyDescent="0.2">
      <c r="A5" s="847" t="s">
        <v>569</v>
      </c>
      <c r="B5" s="847"/>
      <c r="C5" s="847"/>
      <c r="D5" s="847"/>
      <c r="E5" s="847"/>
      <c r="F5" s="847"/>
      <c r="G5" s="847"/>
      <c r="H5" s="847"/>
      <c r="I5" s="847"/>
      <c r="J5" s="847"/>
      <c r="K5" s="847"/>
      <c r="L5" s="847"/>
      <c r="M5" s="847"/>
      <c r="N5" s="847"/>
      <c r="O5" s="847"/>
      <c r="P5" s="847"/>
      <c r="Q5" s="847"/>
    </row>
    <row r="6" spans="1:17" s="2" customFormat="1" ht="40.5" customHeight="1" x14ac:dyDescent="0.2">
      <c r="A6" s="847"/>
      <c r="B6" s="847"/>
      <c r="C6" s="847"/>
      <c r="D6" s="847"/>
      <c r="E6" s="847"/>
      <c r="F6" s="847"/>
      <c r="G6" s="847"/>
      <c r="H6" s="847"/>
      <c r="I6" s="847"/>
      <c r="J6" s="847"/>
      <c r="K6" s="847"/>
      <c r="L6" s="847"/>
      <c r="M6" s="847"/>
      <c r="N6" s="847"/>
      <c r="O6" s="847"/>
      <c r="P6" s="847"/>
      <c r="Q6" s="847"/>
    </row>
    <row r="7" spans="1:17" ht="29.25" customHeight="1" thickBot="1" x14ac:dyDescent="0.45">
      <c r="A7" s="25" t="s">
        <v>32</v>
      </c>
      <c r="B7" s="6"/>
      <c r="C7" s="108" t="s">
        <v>693</v>
      </c>
      <c r="D7" s="23"/>
      <c r="E7" s="23"/>
      <c r="F7" s="24"/>
      <c r="G7" s="23"/>
      <c r="H7" s="23"/>
      <c r="I7" s="23"/>
      <c r="J7" s="23"/>
      <c r="K7" s="23"/>
      <c r="L7" s="23"/>
      <c r="M7" s="23"/>
      <c r="N7" s="23"/>
    </row>
    <row r="8" spans="1:17" ht="83.25" customHeight="1" x14ac:dyDescent="0.2">
      <c r="A8" s="842" t="s">
        <v>10</v>
      </c>
      <c r="B8" s="884" t="s">
        <v>95</v>
      </c>
      <c r="C8" s="844" t="s">
        <v>89</v>
      </c>
      <c r="D8" s="844" t="s">
        <v>11</v>
      </c>
      <c r="E8" s="844" t="s">
        <v>62</v>
      </c>
      <c r="F8" s="881" t="s">
        <v>34</v>
      </c>
      <c r="G8" s="904" t="s">
        <v>663</v>
      </c>
      <c r="H8" s="904" t="s">
        <v>571</v>
      </c>
      <c r="I8" s="904" t="s">
        <v>485</v>
      </c>
      <c r="J8" s="904" t="s">
        <v>485</v>
      </c>
      <c r="K8" s="907" t="s">
        <v>77</v>
      </c>
      <c r="L8" s="910" t="s">
        <v>78</v>
      </c>
      <c r="M8" s="854" t="s">
        <v>71</v>
      </c>
      <c r="N8" s="851" t="s">
        <v>72</v>
      </c>
    </row>
    <row r="9" spans="1:17" ht="45.75" customHeight="1" x14ac:dyDescent="0.2">
      <c r="A9" s="843"/>
      <c r="B9" s="885"/>
      <c r="C9" s="845"/>
      <c r="D9" s="845"/>
      <c r="E9" s="845"/>
      <c r="F9" s="882"/>
      <c r="G9" s="905"/>
      <c r="H9" s="905"/>
      <c r="I9" s="905"/>
      <c r="J9" s="905"/>
      <c r="K9" s="908"/>
      <c r="L9" s="911"/>
      <c r="M9" s="855"/>
      <c r="N9" s="852"/>
    </row>
    <row r="10" spans="1:17" ht="37.5" customHeight="1" x14ac:dyDescent="0.2">
      <c r="A10" s="843"/>
      <c r="B10" s="885"/>
      <c r="C10" s="845"/>
      <c r="D10" s="845"/>
      <c r="E10" s="845"/>
      <c r="F10" s="882"/>
      <c r="G10" s="905"/>
      <c r="H10" s="905"/>
      <c r="I10" s="905"/>
      <c r="J10" s="905"/>
      <c r="K10" s="908"/>
      <c r="L10" s="911"/>
      <c r="M10" s="855"/>
      <c r="N10" s="852"/>
    </row>
    <row r="11" spans="1:17" ht="140.25" customHeight="1" x14ac:dyDescent="0.2">
      <c r="A11" s="843"/>
      <c r="B11" s="886"/>
      <c r="C11" s="845"/>
      <c r="D11" s="845"/>
      <c r="E11" s="845"/>
      <c r="F11" s="883"/>
      <c r="G11" s="906"/>
      <c r="H11" s="906"/>
      <c r="I11" s="906"/>
      <c r="J11" s="906"/>
      <c r="K11" s="909"/>
      <c r="L11" s="912"/>
      <c r="M11" s="856"/>
      <c r="N11" s="853"/>
    </row>
    <row r="12" spans="1:17" ht="43.5" customHeight="1" x14ac:dyDescent="0.35">
      <c r="A12" s="876" t="s">
        <v>15</v>
      </c>
      <c r="B12" s="877"/>
      <c r="C12" s="877"/>
      <c r="D12" s="877"/>
      <c r="E12" s="877"/>
      <c r="F12" s="129">
        <f>F13+F19+F42+F46+F52</f>
        <v>153.06</v>
      </c>
      <c r="G12" s="129">
        <f>G13+G19+G42+G46+G52</f>
        <v>0</v>
      </c>
      <c r="H12" s="129">
        <f t="shared" ref="H12:N12" si="0">H13+H19+H42+H46+H52</f>
        <v>0</v>
      </c>
      <c r="I12" s="129">
        <f t="shared" si="0"/>
        <v>0</v>
      </c>
      <c r="J12" s="129">
        <f t="shared" si="0"/>
        <v>0</v>
      </c>
      <c r="K12" s="129">
        <f t="shared" si="0"/>
        <v>153.06</v>
      </c>
      <c r="L12" s="130">
        <f t="shared" si="0"/>
        <v>0</v>
      </c>
      <c r="M12" s="110">
        <f t="shared" si="0"/>
        <v>0</v>
      </c>
      <c r="N12" s="65">
        <f t="shared" si="0"/>
        <v>0</v>
      </c>
    </row>
    <row r="13" spans="1:17" ht="42.75" hidden="1" customHeight="1" x14ac:dyDescent="0.35">
      <c r="A13" s="872" t="s">
        <v>94</v>
      </c>
      <c r="B13" s="873"/>
      <c r="C13" s="873"/>
      <c r="D13" s="874">
        <v>210</v>
      </c>
      <c r="E13" s="875"/>
      <c r="F13" s="131">
        <f t="shared" ref="F13:F18" si="1">SUM(G13:N13)</f>
        <v>0</v>
      </c>
      <c r="G13" s="131">
        <f>G14+G15+G16+G17</f>
        <v>0</v>
      </c>
      <c r="H13" s="131">
        <f t="shared" ref="H13:N13" si="2">H14+H15+H16+H17</f>
        <v>0</v>
      </c>
      <c r="I13" s="131">
        <f t="shared" si="2"/>
        <v>0</v>
      </c>
      <c r="J13" s="131">
        <f t="shared" si="2"/>
        <v>0</v>
      </c>
      <c r="K13" s="131">
        <f t="shared" si="2"/>
        <v>0</v>
      </c>
      <c r="L13" s="132">
        <f t="shared" si="2"/>
        <v>0</v>
      </c>
      <c r="M13" s="111">
        <f t="shared" si="2"/>
        <v>0</v>
      </c>
      <c r="N13" s="56">
        <f t="shared" si="2"/>
        <v>0</v>
      </c>
    </row>
    <row r="14" spans="1:17" ht="36" hidden="1" customHeight="1" x14ac:dyDescent="0.35">
      <c r="A14" s="20" t="s">
        <v>16</v>
      </c>
      <c r="B14" s="40" t="s">
        <v>96</v>
      </c>
      <c r="C14" s="122" t="s">
        <v>47</v>
      </c>
      <c r="D14" s="67">
        <v>21101</v>
      </c>
      <c r="E14" s="122" t="s">
        <v>90</v>
      </c>
      <c r="F14" s="133">
        <f t="shared" si="1"/>
        <v>0</v>
      </c>
      <c r="G14" s="133"/>
      <c r="H14" s="133"/>
      <c r="I14" s="133"/>
      <c r="J14" s="133"/>
      <c r="K14" s="133"/>
      <c r="L14" s="134"/>
      <c r="M14" s="112"/>
      <c r="N14" s="18"/>
    </row>
    <row r="15" spans="1:17" ht="35.25" hidden="1" customHeight="1" x14ac:dyDescent="0.35">
      <c r="A15" s="16" t="s">
        <v>17</v>
      </c>
      <c r="B15" s="40" t="s">
        <v>97</v>
      </c>
      <c r="C15" s="122" t="s">
        <v>48</v>
      </c>
      <c r="D15" s="67">
        <v>21300</v>
      </c>
      <c r="E15" s="122" t="s">
        <v>18</v>
      </c>
      <c r="F15" s="133">
        <f t="shared" si="1"/>
        <v>0</v>
      </c>
      <c r="G15" s="133"/>
      <c r="H15" s="133"/>
      <c r="I15" s="133"/>
      <c r="J15" s="133"/>
      <c r="K15" s="133"/>
      <c r="L15" s="134"/>
      <c r="M15" s="112"/>
      <c r="N15" s="18"/>
    </row>
    <row r="16" spans="1:17" ht="36" hidden="1" customHeight="1" x14ac:dyDescent="0.35">
      <c r="A16" s="16" t="s">
        <v>98</v>
      </c>
      <c r="B16" s="40" t="s">
        <v>99</v>
      </c>
      <c r="C16" s="122" t="s">
        <v>48</v>
      </c>
      <c r="D16" s="67">
        <v>21300</v>
      </c>
      <c r="E16" s="122" t="s">
        <v>18</v>
      </c>
      <c r="F16" s="133">
        <f t="shared" si="1"/>
        <v>0</v>
      </c>
      <c r="G16" s="133"/>
      <c r="H16" s="133"/>
      <c r="I16" s="133"/>
      <c r="J16" s="133"/>
      <c r="K16" s="133"/>
      <c r="L16" s="134"/>
      <c r="M16" s="112"/>
      <c r="N16" s="18"/>
    </row>
    <row r="17" spans="1:14" ht="29.25" hidden="1" customHeight="1" x14ac:dyDescent="0.35">
      <c r="A17" s="862" t="s">
        <v>12</v>
      </c>
      <c r="B17" s="863"/>
      <c r="C17" s="863"/>
      <c r="D17" s="860">
        <v>212</v>
      </c>
      <c r="E17" s="861"/>
      <c r="F17" s="135">
        <f t="shared" si="1"/>
        <v>0</v>
      </c>
      <c r="G17" s="135">
        <f>G18</f>
        <v>0</v>
      </c>
      <c r="H17" s="135">
        <f t="shared" ref="H17:N17" si="3">H18</f>
        <v>0</v>
      </c>
      <c r="I17" s="135">
        <f t="shared" si="3"/>
        <v>0</v>
      </c>
      <c r="J17" s="135">
        <f t="shared" si="3"/>
        <v>0</v>
      </c>
      <c r="K17" s="135">
        <f t="shared" si="3"/>
        <v>0</v>
      </c>
      <c r="L17" s="136">
        <f t="shared" si="3"/>
        <v>0</v>
      </c>
      <c r="M17" s="113">
        <f t="shared" si="3"/>
        <v>0</v>
      </c>
      <c r="N17" s="50">
        <f t="shared" si="3"/>
        <v>0</v>
      </c>
    </row>
    <row r="18" spans="1:14" ht="34.5" hidden="1" customHeight="1" x14ac:dyDescent="0.35">
      <c r="A18" s="57" t="s">
        <v>112</v>
      </c>
      <c r="B18" s="39" t="s">
        <v>100</v>
      </c>
      <c r="C18" s="38">
        <v>112</v>
      </c>
      <c r="D18" s="41">
        <v>21201</v>
      </c>
      <c r="E18" s="122" t="s">
        <v>59</v>
      </c>
      <c r="F18" s="133">
        <f t="shared" si="1"/>
        <v>0</v>
      </c>
      <c r="G18" s="133"/>
      <c r="H18" s="133"/>
      <c r="I18" s="133"/>
      <c r="J18" s="133"/>
      <c r="K18" s="137"/>
      <c r="L18" s="138"/>
      <c r="M18" s="114"/>
      <c r="N18" s="17"/>
    </row>
    <row r="19" spans="1:14" ht="27.75" customHeight="1" x14ac:dyDescent="0.35">
      <c r="A19" s="864" t="s">
        <v>92</v>
      </c>
      <c r="B19" s="865"/>
      <c r="C19" s="866"/>
      <c r="D19" s="867">
        <v>220</v>
      </c>
      <c r="E19" s="868"/>
      <c r="F19" s="139">
        <f>F20+F21+F22+F26+F33</f>
        <v>0</v>
      </c>
      <c r="G19" s="139">
        <f>G20+G21+G22+G26+G33</f>
        <v>0</v>
      </c>
      <c r="H19" s="139">
        <f t="shared" ref="H19:N19" si="4">H20+H21+H22+H26+H33</f>
        <v>0</v>
      </c>
      <c r="I19" s="139">
        <f t="shared" si="4"/>
        <v>0</v>
      </c>
      <c r="J19" s="139">
        <f t="shared" si="4"/>
        <v>0</v>
      </c>
      <c r="K19" s="139">
        <f t="shared" si="4"/>
        <v>0</v>
      </c>
      <c r="L19" s="140">
        <f t="shared" si="4"/>
        <v>0</v>
      </c>
      <c r="M19" s="115">
        <f t="shared" si="4"/>
        <v>0</v>
      </c>
      <c r="N19" s="46">
        <f t="shared" si="4"/>
        <v>0</v>
      </c>
    </row>
    <row r="20" spans="1:14" ht="29.25" customHeight="1" x14ac:dyDescent="0.35">
      <c r="A20" s="51" t="s">
        <v>0</v>
      </c>
      <c r="B20" s="52" t="s">
        <v>100</v>
      </c>
      <c r="C20" s="53" t="s">
        <v>49</v>
      </c>
      <c r="D20" s="54">
        <v>22100</v>
      </c>
      <c r="E20" s="53" t="s">
        <v>113</v>
      </c>
      <c r="F20" s="141">
        <f>SUM(G20:N20)</f>
        <v>0</v>
      </c>
      <c r="G20" s="141"/>
      <c r="H20" s="141"/>
      <c r="I20" s="141"/>
      <c r="J20" s="141"/>
      <c r="K20" s="141"/>
      <c r="L20" s="142"/>
      <c r="M20" s="116"/>
      <c r="N20" s="49"/>
    </row>
    <row r="21" spans="1:14" ht="27" customHeight="1" x14ac:dyDescent="0.35">
      <c r="A21" s="51" t="s">
        <v>93</v>
      </c>
      <c r="B21" s="52" t="s">
        <v>100</v>
      </c>
      <c r="C21" s="53" t="s">
        <v>49</v>
      </c>
      <c r="D21" s="54">
        <v>22299</v>
      </c>
      <c r="E21" s="53" t="s">
        <v>60</v>
      </c>
      <c r="F21" s="141">
        <f>SUM(G21:N21)</f>
        <v>0</v>
      </c>
      <c r="G21" s="141"/>
      <c r="H21" s="141"/>
      <c r="I21" s="141"/>
      <c r="J21" s="141"/>
      <c r="K21" s="141"/>
      <c r="L21" s="142"/>
      <c r="M21" s="116"/>
      <c r="N21" s="49"/>
    </row>
    <row r="22" spans="1:14" ht="31.5" customHeight="1" x14ac:dyDescent="0.35">
      <c r="A22" s="857" t="s">
        <v>19</v>
      </c>
      <c r="B22" s="858"/>
      <c r="C22" s="859"/>
      <c r="D22" s="900">
        <v>223</v>
      </c>
      <c r="E22" s="901"/>
      <c r="F22" s="141">
        <f>SUM(F23:F25)</f>
        <v>0</v>
      </c>
      <c r="G22" s="141">
        <f>SUM(G23:G25)</f>
        <v>0</v>
      </c>
      <c r="H22" s="141">
        <f t="shared" ref="H22:N22" si="5">SUM(H23:H25)</f>
        <v>0</v>
      </c>
      <c r="I22" s="141">
        <f t="shared" si="5"/>
        <v>0</v>
      </c>
      <c r="J22" s="141">
        <f t="shared" si="5"/>
        <v>0</v>
      </c>
      <c r="K22" s="141">
        <f t="shared" si="5"/>
        <v>0</v>
      </c>
      <c r="L22" s="142">
        <f t="shared" si="5"/>
        <v>0</v>
      </c>
      <c r="M22" s="116">
        <f t="shared" si="5"/>
        <v>0</v>
      </c>
      <c r="N22" s="49">
        <f t="shared" si="5"/>
        <v>0</v>
      </c>
    </row>
    <row r="23" spans="1:14" ht="24.75" customHeight="1" x14ac:dyDescent="0.35">
      <c r="A23" s="37" t="s">
        <v>20</v>
      </c>
      <c r="B23" s="40" t="s">
        <v>102</v>
      </c>
      <c r="C23" s="122" t="s">
        <v>543</v>
      </c>
      <c r="D23" s="67">
        <v>22301</v>
      </c>
      <c r="E23" s="122" t="s">
        <v>69</v>
      </c>
      <c r="F23" s="133">
        <f>SUM(G23:N23)</f>
        <v>0</v>
      </c>
      <c r="G23" s="133"/>
      <c r="H23" s="133"/>
      <c r="I23" s="133"/>
      <c r="J23" s="133"/>
      <c r="K23" s="133"/>
      <c r="L23" s="134"/>
      <c r="M23" s="112"/>
      <c r="N23" s="18"/>
    </row>
    <row r="24" spans="1:14" ht="33.75" customHeight="1" x14ac:dyDescent="0.35">
      <c r="A24" s="20" t="s">
        <v>5</v>
      </c>
      <c r="B24" s="40" t="s">
        <v>102</v>
      </c>
      <c r="C24" s="122" t="s">
        <v>49</v>
      </c>
      <c r="D24" s="67">
        <v>22302</v>
      </c>
      <c r="E24" s="122" t="s">
        <v>69</v>
      </c>
      <c r="F24" s="133">
        <f>SUM(G24:N24)</f>
        <v>0</v>
      </c>
      <c r="G24" s="133"/>
      <c r="H24" s="133"/>
      <c r="I24" s="133"/>
      <c r="J24" s="133"/>
      <c r="K24" s="133"/>
      <c r="L24" s="134"/>
      <c r="M24" s="112"/>
      <c r="N24" s="18"/>
    </row>
    <row r="25" spans="1:14" ht="31.5" customHeight="1" x14ac:dyDescent="0.35">
      <c r="A25" s="37" t="s">
        <v>21</v>
      </c>
      <c r="B25" s="40" t="s">
        <v>102</v>
      </c>
      <c r="C25" s="122" t="s">
        <v>543</v>
      </c>
      <c r="D25" s="67">
        <v>22303</v>
      </c>
      <c r="E25" s="122" t="s">
        <v>69</v>
      </c>
      <c r="F25" s="133">
        <f>SUM(G25:N25)</f>
        <v>0</v>
      </c>
      <c r="G25" s="133"/>
      <c r="H25" s="133"/>
      <c r="I25" s="133"/>
      <c r="J25" s="133"/>
      <c r="K25" s="133"/>
      <c r="L25" s="134"/>
      <c r="M25" s="112"/>
      <c r="N25" s="18"/>
    </row>
    <row r="26" spans="1:14" ht="36" customHeight="1" x14ac:dyDescent="0.35">
      <c r="A26" s="857" t="s">
        <v>103</v>
      </c>
      <c r="B26" s="858"/>
      <c r="C26" s="859"/>
      <c r="D26" s="860">
        <v>225</v>
      </c>
      <c r="E26" s="861"/>
      <c r="F26" s="141">
        <f>SUM(F27:F32)</f>
        <v>0</v>
      </c>
      <c r="G26" s="141">
        <f>SUM(G27:G32)</f>
        <v>0</v>
      </c>
      <c r="H26" s="141">
        <f t="shared" ref="H26:N26" si="6">SUM(H27:H29)</f>
        <v>0</v>
      </c>
      <c r="I26" s="141">
        <f t="shared" si="6"/>
        <v>0</v>
      </c>
      <c r="J26" s="141">
        <f t="shared" si="6"/>
        <v>0</v>
      </c>
      <c r="K26" s="141">
        <f t="shared" si="6"/>
        <v>0</v>
      </c>
      <c r="L26" s="142">
        <f t="shared" si="6"/>
        <v>0</v>
      </c>
      <c r="M26" s="116">
        <f t="shared" si="6"/>
        <v>0</v>
      </c>
      <c r="N26" s="49">
        <f t="shared" si="6"/>
        <v>0</v>
      </c>
    </row>
    <row r="27" spans="1:14" ht="35.25" customHeight="1" x14ac:dyDescent="0.35">
      <c r="A27" s="42" t="s">
        <v>54</v>
      </c>
      <c r="B27" s="40" t="s">
        <v>100</v>
      </c>
      <c r="C27" s="122" t="s">
        <v>49</v>
      </c>
      <c r="D27" s="67">
        <v>22501</v>
      </c>
      <c r="E27" s="122" t="s">
        <v>104</v>
      </c>
      <c r="F27" s="133">
        <f t="shared" ref="F27:F45" si="7">SUM(G27:N27)</f>
        <v>0</v>
      </c>
      <c r="G27" s="133"/>
      <c r="H27" s="133"/>
      <c r="I27" s="133"/>
      <c r="J27" s="133"/>
      <c r="K27" s="133"/>
      <c r="L27" s="134"/>
      <c r="M27" s="112"/>
      <c r="N27" s="18"/>
    </row>
    <row r="28" spans="1:14" ht="23.25" customHeight="1" x14ac:dyDescent="0.35">
      <c r="A28" s="42" t="s">
        <v>58</v>
      </c>
      <c r="B28" s="40" t="s">
        <v>100</v>
      </c>
      <c r="C28" s="122" t="s">
        <v>49</v>
      </c>
      <c r="D28" s="67">
        <v>22502</v>
      </c>
      <c r="E28" s="122" t="s">
        <v>104</v>
      </c>
      <c r="F28" s="133">
        <f t="shared" si="7"/>
        <v>0</v>
      </c>
      <c r="G28" s="133"/>
      <c r="H28" s="133"/>
      <c r="I28" s="133"/>
      <c r="J28" s="133"/>
      <c r="K28" s="133"/>
      <c r="L28" s="134"/>
      <c r="M28" s="112"/>
      <c r="N28" s="18"/>
    </row>
    <row r="29" spans="1:14" ht="24.75" customHeight="1" x14ac:dyDescent="0.35">
      <c r="A29" s="43" t="s">
        <v>56</v>
      </c>
      <c r="B29" s="40" t="s">
        <v>100</v>
      </c>
      <c r="C29" s="122" t="s">
        <v>49</v>
      </c>
      <c r="D29" s="67">
        <v>22503</v>
      </c>
      <c r="E29" s="122" t="s">
        <v>104</v>
      </c>
      <c r="F29" s="133">
        <f t="shared" si="7"/>
        <v>0</v>
      </c>
      <c r="G29" s="133"/>
      <c r="H29" s="133"/>
      <c r="I29" s="133"/>
      <c r="J29" s="133"/>
      <c r="K29" s="133"/>
      <c r="L29" s="134"/>
      <c r="M29" s="112"/>
      <c r="N29" s="18"/>
    </row>
    <row r="30" spans="1:14" ht="32.25" customHeight="1" x14ac:dyDescent="0.35">
      <c r="A30" s="43" t="s">
        <v>57</v>
      </c>
      <c r="B30" s="40" t="s">
        <v>100</v>
      </c>
      <c r="C30" s="122" t="s">
        <v>49</v>
      </c>
      <c r="D30" s="67">
        <v>22504</v>
      </c>
      <c r="E30" s="122" t="s">
        <v>104</v>
      </c>
      <c r="F30" s="133">
        <f t="shared" si="7"/>
        <v>0</v>
      </c>
      <c r="G30" s="133"/>
      <c r="H30" s="133"/>
      <c r="I30" s="133"/>
      <c r="J30" s="133"/>
      <c r="K30" s="133"/>
      <c r="L30" s="134"/>
      <c r="M30" s="112"/>
      <c r="N30" s="18"/>
    </row>
    <row r="31" spans="1:14" ht="25.5" customHeight="1" x14ac:dyDescent="0.35">
      <c r="A31" s="42" t="s">
        <v>55</v>
      </c>
      <c r="B31" s="40" t="s">
        <v>100</v>
      </c>
      <c r="C31" s="122" t="s">
        <v>49</v>
      </c>
      <c r="D31" s="67">
        <v>22505</v>
      </c>
      <c r="E31" s="122" t="s">
        <v>104</v>
      </c>
      <c r="F31" s="133">
        <f t="shared" si="7"/>
        <v>0</v>
      </c>
      <c r="G31" s="133"/>
      <c r="H31" s="133"/>
      <c r="I31" s="133"/>
      <c r="J31" s="133"/>
      <c r="K31" s="133"/>
      <c r="L31" s="134"/>
      <c r="M31" s="112"/>
      <c r="N31" s="18"/>
    </row>
    <row r="32" spans="1:14" ht="34.5" customHeight="1" x14ac:dyDescent="0.35">
      <c r="A32" s="42" t="s">
        <v>22</v>
      </c>
      <c r="B32" s="40" t="s">
        <v>100</v>
      </c>
      <c r="C32" s="122" t="s">
        <v>49</v>
      </c>
      <c r="D32" s="67">
        <v>22599</v>
      </c>
      <c r="E32" s="122" t="s">
        <v>104</v>
      </c>
      <c r="F32" s="133">
        <f t="shared" si="7"/>
        <v>0</v>
      </c>
      <c r="G32" s="133"/>
      <c r="H32" s="133"/>
      <c r="I32" s="133"/>
      <c r="J32" s="133"/>
      <c r="K32" s="133"/>
      <c r="L32" s="134"/>
      <c r="M32" s="112"/>
      <c r="N32" s="18"/>
    </row>
    <row r="33" spans="1:14" ht="28.5" customHeight="1" x14ac:dyDescent="0.35">
      <c r="A33" s="862" t="s">
        <v>109</v>
      </c>
      <c r="B33" s="863"/>
      <c r="C33" s="863"/>
      <c r="D33" s="860">
        <v>226</v>
      </c>
      <c r="E33" s="861"/>
      <c r="F33" s="135">
        <f t="shared" si="7"/>
        <v>0</v>
      </c>
      <c r="G33" s="135">
        <f>SUM(G34:G41)</f>
        <v>0</v>
      </c>
      <c r="H33" s="135">
        <f t="shared" ref="H33:N33" si="8">SUM(H34:H41)</f>
        <v>0</v>
      </c>
      <c r="I33" s="135">
        <f t="shared" si="8"/>
        <v>0</v>
      </c>
      <c r="J33" s="135">
        <f t="shared" si="8"/>
        <v>0</v>
      </c>
      <c r="K33" s="135">
        <f t="shared" si="8"/>
        <v>0</v>
      </c>
      <c r="L33" s="136">
        <f t="shared" si="8"/>
        <v>0</v>
      </c>
      <c r="M33" s="113">
        <f t="shared" si="8"/>
        <v>0</v>
      </c>
      <c r="N33" s="50">
        <f t="shared" si="8"/>
        <v>0</v>
      </c>
    </row>
    <row r="34" spans="1:14" ht="24" customHeight="1" x14ac:dyDescent="0.35">
      <c r="A34" s="43" t="s">
        <v>33</v>
      </c>
      <c r="B34" s="40" t="s">
        <v>100</v>
      </c>
      <c r="C34" s="122" t="s">
        <v>49</v>
      </c>
      <c r="D34" s="67">
        <v>22601</v>
      </c>
      <c r="E34" s="122" t="s">
        <v>110</v>
      </c>
      <c r="F34" s="133">
        <f t="shared" si="7"/>
        <v>0</v>
      </c>
      <c r="G34" s="133"/>
      <c r="H34" s="133"/>
      <c r="I34" s="133"/>
      <c r="J34" s="133"/>
      <c r="K34" s="133"/>
      <c r="L34" s="134"/>
      <c r="M34" s="112"/>
      <c r="N34" s="18"/>
    </row>
    <row r="35" spans="1:14" ht="31.5" customHeight="1" x14ac:dyDescent="0.35">
      <c r="A35" s="42" t="s">
        <v>111</v>
      </c>
      <c r="B35" s="40" t="s">
        <v>100</v>
      </c>
      <c r="C35" s="122" t="s">
        <v>50</v>
      </c>
      <c r="D35" s="67">
        <v>22602</v>
      </c>
      <c r="E35" s="122" t="s">
        <v>110</v>
      </c>
      <c r="F35" s="133">
        <f t="shared" si="7"/>
        <v>0</v>
      </c>
      <c r="G35" s="133"/>
      <c r="H35" s="133"/>
      <c r="I35" s="133"/>
      <c r="J35" s="133"/>
      <c r="K35" s="133"/>
      <c r="L35" s="134"/>
      <c r="M35" s="112"/>
      <c r="N35" s="18"/>
    </row>
    <row r="36" spans="1:14" ht="34.5" customHeight="1" x14ac:dyDescent="0.35">
      <c r="A36" s="42" t="s">
        <v>114</v>
      </c>
      <c r="B36" s="40" t="s">
        <v>100</v>
      </c>
      <c r="C36" s="122" t="s">
        <v>115</v>
      </c>
      <c r="D36" s="67">
        <v>22602</v>
      </c>
      <c r="E36" s="122" t="s">
        <v>110</v>
      </c>
      <c r="F36" s="133">
        <f t="shared" si="7"/>
        <v>0</v>
      </c>
      <c r="G36" s="133"/>
      <c r="H36" s="133"/>
      <c r="I36" s="133"/>
      <c r="J36" s="133"/>
      <c r="K36" s="133"/>
      <c r="L36" s="134"/>
      <c r="M36" s="112"/>
      <c r="N36" s="18"/>
    </row>
    <row r="37" spans="1:14" ht="22.5" customHeight="1" x14ac:dyDescent="0.35">
      <c r="A37" s="42" t="s">
        <v>23</v>
      </c>
      <c r="B37" s="40" t="s">
        <v>100</v>
      </c>
      <c r="C37" s="122" t="s">
        <v>49</v>
      </c>
      <c r="D37" s="67">
        <v>22603</v>
      </c>
      <c r="E37" s="122" t="s">
        <v>110</v>
      </c>
      <c r="F37" s="133">
        <f t="shared" si="7"/>
        <v>0</v>
      </c>
      <c r="G37" s="133"/>
      <c r="H37" s="133"/>
      <c r="I37" s="133"/>
      <c r="J37" s="133"/>
      <c r="K37" s="133"/>
      <c r="L37" s="134"/>
      <c r="M37" s="112"/>
      <c r="N37" s="18"/>
    </row>
    <row r="38" spans="1:14" ht="34.5" customHeight="1" x14ac:dyDescent="0.35">
      <c r="A38" s="42" t="s">
        <v>24</v>
      </c>
      <c r="B38" s="40" t="s">
        <v>100</v>
      </c>
      <c r="C38" s="122" t="s">
        <v>49</v>
      </c>
      <c r="D38" s="67">
        <v>22605</v>
      </c>
      <c r="E38" s="122" t="s">
        <v>110</v>
      </c>
      <c r="F38" s="133">
        <f t="shared" si="7"/>
        <v>0</v>
      </c>
      <c r="G38" s="133"/>
      <c r="H38" s="133"/>
      <c r="I38" s="133"/>
      <c r="J38" s="133"/>
      <c r="K38" s="133"/>
      <c r="L38" s="134"/>
      <c r="M38" s="112"/>
      <c r="N38" s="18"/>
    </row>
    <row r="39" spans="1:14" ht="51" customHeight="1" x14ac:dyDescent="0.35">
      <c r="A39" s="42" t="s">
        <v>116</v>
      </c>
      <c r="B39" s="40" t="s">
        <v>100</v>
      </c>
      <c r="C39" s="122" t="s">
        <v>50</v>
      </c>
      <c r="D39" s="67">
        <v>22606</v>
      </c>
      <c r="E39" s="122" t="s">
        <v>110</v>
      </c>
      <c r="F39" s="133">
        <f t="shared" si="7"/>
        <v>0</v>
      </c>
      <c r="G39" s="133"/>
      <c r="H39" s="133"/>
      <c r="I39" s="133"/>
      <c r="J39" s="133"/>
      <c r="K39" s="133"/>
      <c r="L39" s="134"/>
      <c r="M39" s="112"/>
      <c r="N39" s="18"/>
    </row>
    <row r="40" spans="1:14" ht="49.5" customHeight="1" x14ac:dyDescent="0.35">
      <c r="A40" s="42" t="s">
        <v>117</v>
      </c>
      <c r="B40" s="40" t="s">
        <v>100</v>
      </c>
      <c r="C40" s="122" t="s">
        <v>50</v>
      </c>
      <c r="D40" s="67">
        <v>22699</v>
      </c>
      <c r="E40" s="122" t="s">
        <v>110</v>
      </c>
      <c r="F40" s="133">
        <f t="shared" si="7"/>
        <v>0</v>
      </c>
      <c r="G40" s="133"/>
      <c r="H40" s="133"/>
      <c r="I40" s="133"/>
      <c r="J40" s="133"/>
      <c r="K40" s="133"/>
      <c r="L40" s="134"/>
      <c r="M40" s="112"/>
      <c r="N40" s="18"/>
    </row>
    <row r="41" spans="1:14" ht="32.25" customHeight="1" x14ac:dyDescent="0.35">
      <c r="A41" s="42" t="s">
        <v>25</v>
      </c>
      <c r="B41" s="40" t="s">
        <v>100</v>
      </c>
      <c r="C41" s="122" t="s">
        <v>49</v>
      </c>
      <c r="D41" s="67">
        <v>22699</v>
      </c>
      <c r="E41" s="122" t="s">
        <v>110</v>
      </c>
      <c r="F41" s="133">
        <f t="shared" si="7"/>
        <v>0</v>
      </c>
      <c r="G41" s="133"/>
      <c r="H41" s="133"/>
      <c r="I41" s="133"/>
      <c r="J41" s="133"/>
      <c r="K41" s="133"/>
      <c r="L41" s="134"/>
      <c r="M41" s="112"/>
      <c r="N41" s="36"/>
    </row>
    <row r="42" spans="1:14" ht="28.5" hidden="1" customHeight="1" x14ac:dyDescent="0.35">
      <c r="A42" s="872" t="s">
        <v>121</v>
      </c>
      <c r="B42" s="873"/>
      <c r="C42" s="873"/>
      <c r="D42" s="874">
        <v>266</v>
      </c>
      <c r="E42" s="875"/>
      <c r="F42" s="139">
        <f t="shared" si="7"/>
        <v>0</v>
      </c>
      <c r="G42" s="139">
        <f>SUM(G43:G45)</f>
        <v>0</v>
      </c>
      <c r="H42" s="139">
        <f t="shared" ref="H42:N42" si="9">SUM(H43:H45)</f>
        <v>0</v>
      </c>
      <c r="I42" s="139">
        <f t="shared" si="9"/>
        <v>0</v>
      </c>
      <c r="J42" s="139">
        <f t="shared" si="9"/>
        <v>0</v>
      </c>
      <c r="K42" s="139">
        <f t="shared" si="9"/>
        <v>0</v>
      </c>
      <c r="L42" s="140">
        <f t="shared" si="9"/>
        <v>0</v>
      </c>
      <c r="M42" s="115">
        <f t="shared" si="9"/>
        <v>0</v>
      </c>
      <c r="N42" s="46">
        <f t="shared" si="9"/>
        <v>0</v>
      </c>
    </row>
    <row r="43" spans="1:14" ht="39.75" hidden="1" customHeight="1" x14ac:dyDescent="0.35">
      <c r="A43" s="42" t="s">
        <v>118</v>
      </c>
      <c r="B43" s="40" t="s">
        <v>96</v>
      </c>
      <c r="C43" s="122" t="s">
        <v>47</v>
      </c>
      <c r="D43" s="67">
        <v>26600</v>
      </c>
      <c r="E43" s="122" t="s">
        <v>91</v>
      </c>
      <c r="F43" s="133">
        <f t="shared" si="7"/>
        <v>0</v>
      </c>
      <c r="G43" s="133"/>
      <c r="H43" s="133"/>
      <c r="I43" s="133"/>
      <c r="J43" s="133"/>
      <c r="K43" s="133"/>
      <c r="L43" s="134"/>
      <c r="M43" s="112"/>
      <c r="N43" s="18"/>
    </row>
    <row r="44" spans="1:14" ht="36.75" hidden="1" customHeight="1" x14ac:dyDescent="0.35">
      <c r="A44" s="42" t="s">
        <v>119</v>
      </c>
      <c r="B44" s="40" t="s">
        <v>100</v>
      </c>
      <c r="C44" s="122" t="s">
        <v>50</v>
      </c>
      <c r="D44" s="67">
        <v>26601</v>
      </c>
      <c r="E44" s="122" t="s">
        <v>91</v>
      </c>
      <c r="F44" s="133">
        <f t="shared" si="7"/>
        <v>0</v>
      </c>
      <c r="G44" s="133"/>
      <c r="H44" s="133"/>
      <c r="I44" s="133"/>
      <c r="J44" s="133"/>
      <c r="K44" s="133"/>
      <c r="L44" s="134"/>
      <c r="M44" s="112"/>
      <c r="N44" s="18"/>
    </row>
    <row r="45" spans="1:14" ht="52.5" hidden="1" customHeight="1" x14ac:dyDescent="0.35">
      <c r="A45" s="42" t="s">
        <v>120</v>
      </c>
      <c r="B45" s="40" t="s">
        <v>99</v>
      </c>
      <c r="C45" s="122" t="s">
        <v>50</v>
      </c>
      <c r="D45" s="67">
        <v>26602</v>
      </c>
      <c r="E45" s="122" t="s">
        <v>91</v>
      </c>
      <c r="F45" s="133">
        <f t="shared" si="7"/>
        <v>0</v>
      </c>
      <c r="G45" s="133"/>
      <c r="H45" s="133"/>
      <c r="I45" s="133"/>
      <c r="J45" s="133"/>
      <c r="K45" s="133"/>
      <c r="L45" s="134"/>
      <c r="M45" s="112"/>
      <c r="N45" s="18"/>
    </row>
    <row r="46" spans="1:14" s="1" customFormat="1" ht="26.25" hidden="1" customHeight="1" x14ac:dyDescent="0.35">
      <c r="A46" s="864" t="s">
        <v>31</v>
      </c>
      <c r="B46" s="865"/>
      <c r="C46" s="865"/>
      <c r="D46" s="874">
        <v>290</v>
      </c>
      <c r="E46" s="875"/>
      <c r="F46" s="139">
        <f>SUM(F47:F51)</f>
        <v>0</v>
      </c>
      <c r="G46" s="139">
        <f>SUM(G47:G51)</f>
        <v>0</v>
      </c>
      <c r="H46" s="139">
        <f t="shared" ref="H46:N46" si="10">SUM(H47:H51)</f>
        <v>0</v>
      </c>
      <c r="I46" s="139">
        <f t="shared" si="10"/>
        <v>0</v>
      </c>
      <c r="J46" s="139">
        <f t="shared" si="10"/>
        <v>0</v>
      </c>
      <c r="K46" s="139">
        <f t="shared" si="10"/>
        <v>0</v>
      </c>
      <c r="L46" s="140">
        <f t="shared" si="10"/>
        <v>0</v>
      </c>
      <c r="M46" s="115">
        <f t="shared" si="10"/>
        <v>0</v>
      </c>
      <c r="N46" s="46">
        <f t="shared" si="10"/>
        <v>0</v>
      </c>
    </row>
    <row r="47" spans="1:14" ht="30.75" hidden="1" customHeight="1" x14ac:dyDescent="0.35">
      <c r="A47" s="27" t="s">
        <v>122</v>
      </c>
      <c r="B47" s="40" t="s">
        <v>100</v>
      </c>
      <c r="C47" s="122" t="s">
        <v>51</v>
      </c>
      <c r="D47" s="67">
        <v>29001</v>
      </c>
      <c r="E47" s="122" t="s">
        <v>123</v>
      </c>
      <c r="F47" s="133">
        <f>SUM(G47:L47)</f>
        <v>0</v>
      </c>
      <c r="G47" s="133"/>
      <c r="H47" s="133"/>
      <c r="I47" s="133"/>
      <c r="J47" s="133"/>
      <c r="K47" s="133"/>
      <c r="L47" s="134"/>
      <c r="M47" s="117"/>
      <c r="N47" s="29"/>
    </row>
    <row r="48" spans="1:14" ht="30.75" hidden="1" customHeight="1" x14ac:dyDescent="0.35">
      <c r="A48" s="27" t="s">
        <v>124</v>
      </c>
      <c r="B48" s="40" t="s">
        <v>100</v>
      </c>
      <c r="C48" s="122" t="s">
        <v>52</v>
      </c>
      <c r="D48" s="67">
        <v>29001</v>
      </c>
      <c r="E48" s="122" t="s">
        <v>123</v>
      </c>
      <c r="F48" s="133">
        <f>SUM(G48:N48)</f>
        <v>0</v>
      </c>
      <c r="G48" s="133"/>
      <c r="H48" s="133"/>
      <c r="I48" s="133"/>
      <c r="J48" s="133"/>
      <c r="K48" s="133"/>
      <c r="L48" s="134"/>
      <c r="M48" s="112"/>
      <c r="N48" s="18"/>
    </row>
    <row r="49" spans="1:14" ht="31.5" hidden="1" customHeight="1" x14ac:dyDescent="0.35">
      <c r="A49" s="58" t="s">
        <v>125</v>
      </c>
      <c r="B49" s="40" t="s">
        <v>100</v>
      </c>
      <c r="C49" s="122" t="s">
        <v>53</v>
      </c>
      <c r="D49" s="67">
        <v>29001</v>
      </c>
      <c r="E49" s="122" t="s">
        <v>127</v>
      </c>
      <c r="F49" s="133">
        <f>SUM(G49:N49)</f>
        <v>0</v>
      </c>
      <c r="G49" s="133"/>
      <c r="H49" s="133"/>
      <c r="I49" s="133"/>
      <c r="J49" s="133"/>
      <c r="K49" s="133"/>
      <c r="L49" s="134"/>
      <c r="M49" s="112"/>
      <c r="N49" s="18"/>
    </row>
    <row r="50" spans="1:14" ht="38.25" hidden="1" customHeight="1" x14ac:dyDescent="0.35">
      <c r="A50" s="58" t="s">
        <v>126</v>
      </c>
      <c r="B50" s="40" t="s">
        <v>100</v>
      </c>
      <c r="C50" s="122" t="s">
        <v>53</v>
      </c>
      <c r="D50" s="67">
        <v>29001</v>
      </c>
      <c r="E50" s="122" t="s">
        <v>128</v>
      </c>
      <c r="F50" s="133">
        <f>SUM(G50:N50)</f>
        <v>0</v>
      </c>
      <c r="G50" s="133"/>
      <c r="H50" s="133"/>
      <c r="I50" s="133"/>
      <c r="J50" s="133"/>
      <c r="K50" s="133"/>
      <c r="L50" s="134"/>
      <c r="M50" s="112"/>
      <c r="N50" s="18"/>
    </row>
    <row r="51" spans="1:14" ht="34.5" hidden="1" customHeight="1" x14ac:dyDescent="0.35">
      <c r="A51" s="59" t="s">
        <v>130</v>
      </c>
      <c r="B51" s="40" t="s">
        <v>100</v>
      </c>
      <c r="C51" s="122" t="s">
        <v>53</v>
      </c>
      <c r="D51" s="67">
        <v>29001</v>
      </c>
      <c r="E51" s="122" t="s">
        <v>129</v>
      </c>
      <c r="F51" s="133">
        <f>SUM(G51:N51)</f>
        <v>0</v>
      </c>
      <c r="G51" s="133"/>
      <c r="H51" s="133"/>
      <c r="I51" s="133"/>
      <c r="J51" s="133"/>
      <c r="K51" s="133"/>
      <c r="L51" s="134"/>
      <c r="M51" s="112"/>
      <c r="N51" s="18"/>
    </row>
    <row r="52" spans="1:14" ht="36" customHeight="1" x14ac:dyDescent="0.35">
      <c r="A52" s="872" t="s">
        <v>131</v>
      </c>
      <c r="B52" s="873"/>
      <c r="C52" s="873"/>
      <c r="D52" s="902">
        <v>300</v>
      </c>
      <c r="E52" s="903"/>
      <c r="F52" s="139">
        <f>F53+F58</f>
        <v>153.06</v>
      </c>
      <c r="G52" s="139">
        <f>G53+G58</f>
        <v>0</v>
      </c>
      <c r="H52" s="139">
        <f t="shared" ref="H52:N52" si="11">H53+H58</f>
        <v>0</v>
      </c>
      <c r="I52" s="139">
        <f t="shared" si="11"/>
        <v>0</v>
      </c>
      <c r="J52" s="139">
        <f t="shared" si="11"/>
        <v>0</v>
      </c>
      <c r="K52" s="139">
        <f t="shared" si="11"/>
        <v>153.06</v>
      </c>
      <c r="L52" s="140">
        <f t="shared" si="11"/>
        <v>0</v>
      </c>
      <c r="M52" s="115">
        <f t="shared" si="11"/>
        <v>0</v>
      </c>
      <c r="N52" s="46">
        <f t="shared" si="11"/>
        <v>0</v>
      </c>
    </row>
    <row r="53" spans="1:14" ht="30.75" customHeight="1" x14ac:dyDescent="0.35">
      <c r="A53" s="857" t="s">
        <v>13</v>
      </c>
      <c r="B53" s="858"/>
      <c r="C53" s="859"/>
      <c r="D53" s="860">
        <v>310</v>
      </c>
      <c r="E53" s="861"/>
      <c r="F53" s="135">
        <f>SUM(G53:N53)</f>
        <v>0</v>
      </c>
      <c r="G53" s="135">
        <f>SUM(G54:G57)</f>
        <v>0</v>
      </c>
      <c r="H53" s="135">
        <f t="shared" ref="H53:N53" si="12">SUM(H54:H57)</f>
        <v>0</v>
      </c>
      <c r="I53" s="135">
        <f t="shared" si="12"/>
        <v>0</v>
      </c>
      <c r="J53" s="135">
        <f t="shared" si="12"/>
        <v>0</v>
      </c>
      <c r="K53" s="135">
        <f>SUM(K54:K57)</f>
        <v>0</v>
      </c>
      <c r="L53" s="136">
        <f t="shared" si="12"/>
        <v>0</v>
      </c>
      <c r="M53" s="113">
        <f t="shared" si="12"/>
        <v>0</v>
      </c>
      <c r="N53" s="50">
        <f t="shared" si="12"/>
        <v>0</v>
      </c>
    </row>
    <row r="54" spans="1:14" ht="27.75" customHeight="1" x14ac:dyDescent="0.35">
      <c r="A54" s="16" t="s">
        <v>132</v>
      </c>
      <c r="B54" s="40" t="s">
        <v>133</v>
      </c>
      <c r="C54" s="122" t="s">
        <v>49</v>
      </c>
      <c r="D54" s="67">
        <v>31003</v>
      </c>
      <c r="E54" s="122" t="s">
        <v>61</v>
      </c>
      <c r="F54" s="133">
        <f>SUM(G54:N54)</f>
        <v>0</v>
      </c>
      <c r="G54" s="133"/>
      <c r="H54" s="133"/>
      <c r="I54" s="133"/>
      <c r="J54" s="133"/>
      <c r="K54" s="133"/>
      <c r="L54" s="134"/>
      <c r="M54" s="112"/>
      <c r="N54" s="18"/>
    </row>
    <row r="55" spans="1:14" ht="25.5" customHeight="1" x14ac:dyDescent="0.35">
      <c r="A55" s="16" t="s">
        <v>6</v>
      </c>
      <c r="B55" s="40" t="s">
        <v>133</v>
      </c>
      <c r="C55" s="122" t="s">
        <v>49</v>
      </c>
      <c r="D55" s="67">
        <v>31004</v>
      </c>
      <c r="E55" s="122" t="s">
        <v>61</v>
      </c>
      <c r="F55" s="133">
        <f>SUM(G55:N55)</f>
        <v>0</v>
      </c>
      <c r="G55" s="133"/>
      <c r="H55" s="133"/>
      <c r="I55" s="133"/>
      <c r="J55" s="133"/>
      <c r="K55" s="133"/>
      <c r="L55" s="134"/>
      <c r="M55" s="112"/>
      <c r="N55" s="18"/>
    </row>
    <row r="56" spans="1:14" ht="28.5" customHeight="1" x14ac:dyDescent="0.35">
      <c r="A56" s="16" t="s">
        <v>7</v>
      </c>
      <c r="B56" s="40" t="s">
        <v>133</v>
      </c>
      <c r="C56" s="122" t="s">
        <v>49</v>
      </c>
      <c r="D56" s="67">
        <v>31005</v>
      </c>
      <c r="E56" s="122" t="s">
        <v>61</v>
      </c>
      <c r="F56" s="133">
        <f>SUM(G56:N56)</f>
        <v>0</v>
      </c>
      <c r="G56" s="133"/>
      <c r="H56" s="133"/>
      <c r="I56" s="133"/>
      <c r="J56" s="133"/>
      <c r="K56" s="133"/>
      <c r="L56" s="134"/>
      <c r="M56" s="112"/>
      <c r="N56" s="18"/>
    </row>
    <row r="57" spans="1:14" ht="36.75" customHeight="1" x14ac:dyDescent="0.35">
      <c r="A57" s="16" t="s">
        <v>8</v>
      </c>
      <c r="B57" s="40" t="s">
        <v>133</v>
      </c>
      <c r="C57" s="122" t="s">
        <v>49</v>
      </c>
      <c r="D57" s="67">
        <v>31099</v>
      </c>
      <c r="E57" s="122" t="s">
        <v>61</v>
      </c>
      <c r="F57" s="133">
        <f>SUM(G57:N57)</f>
        <v>0</v>
      </c>
      <c r="G57" s="133"/>
      <c r="H57" s="133"/>
      <c r="I57" s="133"/>
      <c r="J57" s="133"/>
      <c r="K57" s="133"/>
      <c r="L57" s="134"/>
      <c r="M57" s="112"/>
      <c r="N57" s="18"/>
    </row>
    <row r="58" spans="1:14" ht="39.75" customHeight="1" x14ac:dyDescent="0.35">
      <c r="A58" s="857" t="s">
        <v>14</v>
      </c>
      <c r="B58" s="858"/>
      <c r="C58" s="859"/>
      <c r="D58" s="860">
        <v>340</v>
      </c>
      <c r="E58" s="861"/>
      <c r="F58" s="135">
        <f>F59+F60+F61+F62+F63+F64</f>
        <v>153.06</v>
      </c>
      <c r="G58" s="135">
        <f>G59+G60+G61+G62+G63+G64</f>
        <v>0</v>
      </c>
      <c r="H58" s="135">
        <f t="shared" ref="H58:N58" si="13">H59+H60+H61+H62+H63+H64</f>
        <v>0</v>
      </c>
      <c r="I58" s="135">
        <f t="shared" si="13"/>
        <v>0</v>
      </c>
      <c r="J58" s="135">
        <f t="shared" si="13"/>
        <v>0</v>
      </c>
      <c r="K58" s="135">
        <f t="shared" si="13"/>
        <v>153.06</v>
      </c>
      <c r="L58" s="136">
        <f t="shared" si="13"/>
        <v>0</v>
      </c>
      <c r="M58" s="113">
        <f t="shared" si="13"/>
        <v>0</v>
      </c>
      <c r="N58" s="50">
        <f t="shared" si="13"/>
        <v>0</v>
      </c>
    </row>
    <row r="59" spans="1:14" ht="31.5" customHeight="1" x14ac:dyDescent="0.35">
      <c r="A59" s="42" t="s">
        <v>3</v>
      </c>
      <c r="B59" s="40" t="s">
        <v>100</v>
      </c>
      <c r="C59" s="122" t="s">
        <v>49</v>
      </c>
      <c r="D59" s="67">
        <v>34001</v>
      </c>
      <c r="E59" s="122" t="s">
        <v>82</v>
      </c>
      <c r="F59" s="133">
        <f>SUM(G59:N59)</f>
        <v>0</v>
      </c>
      <c r="G59" s="133"/>
      <c r="H59" s="133"/>
      <c r="I59" s="133"/>
      <c r="J59" s="133"/>
      <c r="K59" s="133"/>
      <c r="L59" s="134"/>
      <c r="M59" s="118"/>
      <c r="N59" s="18">
        <f>525-525</f>
        <v>0</v>
      </c>
    </row>
    <row r="60" spans="1:14" ht="24.75" customHeight="1" x14ac:dyDescent="0.35">
      <c r="A60" s="42" t="s">
        <v>1</v>
      </c>
      <c r="B60" s="40" t="s">
        <v>100</v>
      </c>
      <c r="C60" s="122" t="s">
        <v>49</v>
      </c>
      <c r="D60" s="67">
        <v>34002</v>
      </c>
      <c r="E60" s="122" t="s">
        <v>83</v>
      </c>
      <c r="F60" s="133">
        <f>SUM(G60:N60)</f>
        <v>153.06</v>
      </c>
      <c r="G60" s="133"/>
      <c r="H60" s="133"/>
      <c r="I60" s="133"/>
      <c r="J60" s="133"/>
      <c r="K60" s="320">
        <v>153.06</v>
      </c>
      <c r="L60" s="134"/>
      <c r="M60" s="112"/>
      <c r="N60" s="18"/>
    </row>
    <row r="61" spans="1:14" ht="24.75" customHeight="1" x14ac:dyDescent="0.35">
      <c r="A61" s="42" t="s">
        <v>134</v>
      </c>
      <c r="B61" s="40" t="s">
        <v>135</v>
      </c>
      <c r="C61" s="122" t="s">
        <v>49</v>
      </c>
      <c r="D61" s="67">
        <v>34002</v>
      </c>
      <c r="E61" s="122" t="s">
        <v>83</v>
      </c>
      <c r="F61" s="133">
        <f>SUM(G61:N61)</f>
        <v>0</v>
      </c>
      <c r="G61" s="133"/>
      <c r="H61" s="133"/>
      <c r="I61" s="133"/>
      <c r="J61" s="133"/>
      <c r="K61" s="133"/>
      <c r="L61" s="134"/>
      <c r="M61" s="112"/>
      <c r="N61" s="18"/>
    </row>
    <row r="62" spans="1:14" ht="23.25" customHeight="1" x14ac:dyDescent="0.35">
      <c r="A62" s="42" t="s">
        <v>27</v>
      </c>
      <c r="B62" s="40" t="s">
        <v>100</v>
      </c>
      <c r="C62" s="122" t="s">
        <v>49</v>
      </c>
      <c r="D62" s="67">
        <v>34003</v>
      </c>
      <c r="E62" s="122" t="s">
        <v>84</v>
      </c>
      <c r="F62" s="133">
        <f>SUM(G62:N62)</f>
        <v>0</v>
      </c>
      <c r="G62" s="133"/>
      <c r="H62" s="133"/>
      <c r="I62" s="133"/>
      <c r="J62" s="133"/>
      <c r="K62" s="133"/>
      <c r="L62" s="134"/>
      <c r="M62" s="112"/>
      <c r="N62" s="18"/>
    </row>
    <row r="63" spans="1:14" ht="24" customHeight="1" x14ac:dyDescent="0.35">
      <c r="A63" s="42" t="s">
        <v>28</v>
      </c>
      <c r="B63" s="40" t="s">
        <v>100</v>
      </c>
      <c r="C63" s="122" t="s">
        <v>49</v>
      </c>
      <c r="D63" s="67">
        <v>34004</v>
      </c>
      <c r="E63" s="122" t="s">
        <v>85</v>
      </c>
      <c r="F63" s="133">
        <f>SUM(G63:N63)</f>
        <v>0</v>
      </c>
      <c r="G63" s="133"/>
      <c r="H63" s="133"/>
      <c r="I63" s="133"/>
      <c r="J63" s="133"/>
      <c r="K63" s="133"/>
      <c r="L63" s="134"/>
      <c r="M63" s="112"/>
      <c r="N63" s="18"/>
    </row>
    <row r="64" spans="1:14" ht="31.5" customHeight="1" x14ac:dyDescent="0.35">
      <c r="A64" s="895" t="s">
        <v>29</v>
      </c>
      <c r="B64" s="896"/>
      <c r="C64" s="897"/>
      <c r="D64" s="898">
        <v>34099</v>
      </c>
      <c r="E64" s="899"/>
      <c r="F64" s="143">
        <f>SUM(F65:F67)</f>
        <v>0</v>
      </c>
      <c r="G64" s="143">
        <f>SUM(G65:G67)</f>
        <v>0</v>
      </c>
      <c r="H64" s="143">
        <f t="shared" ref="H64:N64" si="14">SUM(H65:H67)</f>
        <v>0</v>
      </c>
      <c r="I64" s="143">
        <f t="shared" si="14"/>
        <v>0</v>
      </c>
      <c r="J64" s="143">
        <f t="shared" si="14"/>
        <v>0</v>
      </c>
      <c r="K64" s="143">
        <f t="shared" si="14"/>
        <v>0</v>
      </c>
      <c r="L64" s="144">
        <f t="shared" si="14"/>
        <v>0</v>
      </c>
      <c r="M64" s="119">
        <f t="shared" si="14"/>
        <v>0</v>
      </c>
      <c r="N64" s="55">
        <f t="shared" si="14"/>
        <v>0</v>
      </c>
    </row>
    <row r="65" spans="1:17" ht="30" customHeight="1" x14ac:dyDescent="0.35">
      <c r="A65" s="42" t="s">
        <v>136</v>
      </c>
      <c r="B65" s="40" t="s">
        <v>100</v>
      </c>
      <c r="C65" s="122" t="s">
        <v>49</v>
      </c>
      <c r="D65" s="67">
        <v>34099</v>
      </c>
      <c r="E65" s="122" t="s">
        <v>137</v>
      </c>
      <c r="F65" s="133">
        <f t="shared" ref="F65" si="15">SUM(G65:N65)</f>
        <v>0</v>
      </c>
      <c r="G65" s="133"/>
      <c r="H65" s="133"/>
      <c r="I65" s="133"/>
      <c r="J65" s="133"/>
      <c r="K65" s="133"/>
      <c r="L65" s="134"/>
      <c r="M65" s="112"/>
      <c r="N65" s="18"/>
    </row>
    <row r="66" spans="1:17" ht="30" customHeight="1" x14ac:dyDescent="0.35">
      <c r="A66" s="42" t="s">
        <v>138</v>
      </c>
      <c r="B66" s="40" t="s">
        <v>100</v>
      </c>
      <c r="C66" s="122" t="s">
        <v>49</v>
      </c>
      <c r="D66" s="67">
        <v>34099</v>
      </c>
      <c r="E66" s="122" t="s">
        <v>86</v>
      </c>
      <c r="F66" s="133">
        <f>SUM(G66:N66)</f>
        <v>0</v>
      </c>
      <c r="G66" s="133">
        <f>2445.69-2445.69</f>
        <v>0</v>
      </c>
      <c r="H66" s="133"/>
      <c r="I66" s="133"/>
      <c r="J66" s="133"/>
      <c r="K66" s="133"/>
      <c r="L66" s="134"/>
      <c r="M66" s="112"/>
      <c r="N66" s="18"/>
    </row>
    <row r="67" spans="1:17" ht="32.25" customHeight="1" thickBot="1" x14ac:dyDescent="0.4">
      <c r="A67" s="60" t="s">
        <v>88</v>
      </c>
      <c r="B67" s="61" t="s">
        <v>100</v>
      </c>
      <c r="C67" s="123" t="s">
        <v>49</v>
      </c>
      <c r="D67" s="62">
        <v>34099</v>
      </c>
      <c r="E67" s="123" t="s">
        <v>87</v>
      </c>
      <c r="F67" s="145">
        <f>SUM(G67:N67)</f>
        <v>0</v>
      </c>
      <c r="G67" s="145"/>
      <c r="H67" s="145"/>
      <c r="I67" s="145"/>
      <c r="J67" s="145"/>
      <c r="K67" s="145"/>
      <c r="L67" s="146"/>
      <c r="M67" s="120"/>
      <c r="N67" s="19"/>
    </row>
    <row r="68" spans="1:17" ht="31.5" customHeight="1" thickBot="1" x14ac:dyDescent="0.35">
      <c r="A68" s="892" t="s">
        <v>498</v>
      </c>
      <c r="B68" s="893"/>
      <c r="C68" s="893"/>
      <c r="D68" s="893"/>
      <c r="E68" s="894"/>
      <c r="F68" s="147">
        <f>F20+F21+F22+F26+F34+F37+F38+F41+F52</f>
        <v>153.06</v>
      </c>
      <c r="G68" s="4"/>
      <c r="H68" s="4"/>
      <c r="I68" s="4"/>
      <c r="J68" s="4"/>
      <c r="K68" s="4"/>
      <c r="L68" s="4"/>
      <c r="M68" s="4"/>
      <c r="N68" s="4"/>
      <c r="O68" s="4"/>
      <c r="P68" s="4"/>
      <c r="Q68" s="4"/>
    </row>
    <row r="69" spans="1:17" ht="8.25" customHeight="1" x14ac:dyDescent="0.2">
      <c r="A69" s="5"/>
      <c r="B69" s="7"/>
      <c r="C69" s="7"/>
      <c r="D69" s="3"/>
      <c r="E69" s="3"/>
      <c r="F69" s="4"/>
      <c r="G69" s="4"/>
      <c r="H69" s="4"/>
      <c r="I69" s="4"/>
      <c r="J69" s="4"/>
      <c r="K69" s="4"/>
      <c r="L69" s="4"/>
      <c r="M69" s="4"/>
      <c r="N69" s="4"/>
    </row>
    <row r="70" spans="1:17" s="12" customFormat="1" ht="15.75" customHeight="1" x14ac:dyDescent="0.25">
      <c r="A70" s="21"/>
      <c r="B70" s="11"/>
      <c r="C70" s="10"/>
      <c r="D70" s="11"/>
      <c r="E70" s="11"/>
      <c r="G70" s="11"/>
    </row>
  </sheetData>
  <mergeCells count="44">
    <mergeCell ref="A68:E68"/>
    <mergeCell ref="A64:C64"/>
    <mergeCell ref="D64:E64"/>
    <mergeCell ref="I8:I11"/>
    <mergeCell ref="J8:J11"/>
    <mergeCell ref="A52:C52"/>
    <mergeCell ref="D52:E52"/>
    <mergeCell ref="A53:C53"/>
    <mergeCell ref="D53:E53"/>
    <mergeCell ref="A58:C58"/>
    <mergeCell ref="D58:E58"/>
    <mergeCell ref="A33:C33"/>
    <mergeCell ref="D33:E33"/>
    <mergeCell ref="A42:C42"/>
    <mergeCell ref="D42:E42"/>
    <mergeCell ref="A46:C46"/>
    <mergeCell ref="D46:E46"/>
    <mergeCell ref="A19:C19"/>
    <mergeCell ref="D19:E19"/>
    <mergeCell ref="A22:C22"/>
    <mergeCell ref="D22:E22"/>
    <mergeCell ref="A26:C26"/>
    <mergeCell ref="D26:E26"/>
    <mergeCell ref="A12:E12"/>
    <mergeCell ref="A13:C13"/>
    <mergeCell ref="D13:E13"/>
    <mergeCell ref="A17:C17"/>
    <mergeCell ref="D17:E17"/>
    <mergeCell ref="A5:Q6"/>
    <mergeCell ref="A1:B1"/>
    <mergeCell ref="D1:E1"/>
    <mergeCell ref="A2:L3"/>
    <mergeCell ref="A8:A11"/>
    <mergeCell ref="B8:B11"/>
    <mergeCell ref="C8:C11"/>
    <mergeCell ref="D8:D11"/>
    <mergeCell ref="E8:E11"/>
    <mergeCell ref="F8:F11"/>
    <mergeCell ref="M8:M11"/>
    <mergeCell ref="N8:N11"/>
    <mergeCell ref="G8:G11"/>
    <mergeCell ref="H8:H11"/>
    <mergeCell ref="K8:K11"/>
    <mergeCell ref="L8:L11"/>
  </mergeCell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0"/>
  <sheetViews>
    <sheetView zoomScale="55" zoomScaleNormal="55" workbookViewId="0">
      <selection activeCell="A5" sqref="A5:Q6"/>
    </sheetView>
  </sheetViews>
  <sheetFormatPr defaultRowHeight="12.75" x14ac:dyDescent="0.2"/>
  <cols>
    <col min="1" max="1" width="47.85546875" customWidth="1"/>
    <col min="2" max="3" width="9.7109375" customWidth="1"/>
    <col min="4" max="4" width="12" customWidth="1"/>
    <col min="5" max="5" width="9.5703125" customWidth="1"/>
    <col min="6" max="6" width="24.140625" customWidth="1"/>
    <col min="7" max="7" width="23.5703125" customWidth="1"/>
    <col min="8" max="8" width="22.85546875" customWidth="1"/>
    <col min="9" max="9" width="22" hidden="1" customWidth="1"/>
    <col min="10" max="10" width="20.5703125" hidden="1" customWidth="1"/>
    <col min="11" max="11" width="21.42578125" customWidth="1"/>
    <col min="12" max="12" width="24.7109375" customWidth="1"/>
    <col min="13" max="13" width="23.85546875" hidden="1" customWidth="1"/>
    <col min="14" max="14" width="24.7109375" hidden="1" customWidth="1"/>
    <col min="15" max="15" width="9.140625" hidden="1" customWidth="1"/>
    <col min="16" max="16" width="0.140625" customWidth="1"/>
  </cols>
  <sheetData>
    <row r="1" spans="1:17" s="2" customFormat="1" ht="18" x14ac:dyDescent="0.2">
      <c r="A1" s="840"/>
      <c r="B1" s="840"/>
      <c r="C1" s="124"/>
      <c r="D1" s="841"/>
      <c r="E1" s="841"/>
      <c r="F1" s="8"/>
      <c r="G1" s="8"/>
      <c r="H1" s="8"/>
      <c r="I1" s="8"/>
      <c r="J1" s="8"/>
      <c r="K1" s="8"/>
      <c r="L1" s="8"/>
      <c r="M1" s="8"/>
      <c r="N1" s="8"/>
    </row>
    <row r="2" spans="1:17" s="2" customFormat="1" ht="21" customHeight="1" x14ac:dyDescent="0.2">
      <c r="A2" s="846" t="s">
        <v>637</v>
      </c>
      <c r="B2" s="846"/>
      <c r="C2" s="846"/>
      <c r="D2" s="846"/>
      <c r="E2" s="846"/>
      <c r="F2" s="846"/>
      <c r="G2" s="846"/>
      <c r="H2" s="846"/>
      <c r="I2" s="846"/>
      <c r="J2" s="846"/>
      <c r="K2" s="846"/>
      <c r="L2" s="846"/>
    </row>
    <row r="3" spans="1:17" s="2" customFormat="1" ht="18" customHeight="1" x14ac:dyDescent="0.2">
      <c r="A3" s="846"/>
      <c r="B3" s="846"/>
      <c r="C3" s="846"/>
      <c r="D3" s="846"/>
      <c r="E3" s="846"/>
      <c r="F3" s="846"/>
      <c r="G3" s="846"/>
      <c r="H3" s="846"/>
      <c r="I3" s="846"/>
      <c r="J3" s="846"/>
      <c r="K3" s="846"/>
      <c r="L3" s="846"/>
    </row>
    <row r="4" spans="1:17" s="2" customFormat="1" ht="9.75" customHeight="1" x14ac:dyDescent="0.4">
      <c r="A4" s="28"/>
      <c r="B4" s="28"/>
      <c r="C4" s="28"/>
      <c r="D4" s="28"/>
      <c r="E4" s="28"/>
      <c r="F4" s="28"/>
      <c r="G4" s="28"/>
      <c r="H4" s="28"/>
      <c r="I4" s="28"/>
      <c r="J4" s="28"/>
      <c r="K4" s="28"/>
      <c r="L4" s="28"/>
    </row>
    <row r="5" spans="1:17" s="2" customFormat="1" ht="15.75" customHeight="1" x14ac:dyDescent="0.2">
      <c r="A5" s="847" t="s">
        <v>569</v>
      </c>
      <c r="B5" s="847"/>
      <c r="C5" s="847"/>
      <c r="D5" s="847"/>
      <c r="E5" s="847"/>
      <c r="F5" s="847"/>
      <c r="G5" s="847"/>
      <c r="H5" s="847"/>
      <c r="I5" s="847"/>
      <c r="J5" s="847"/>
      <c r="K5" s="847"/>
      <c r="L5" s="847"/>
      <c r="M5" s="847"/>
      <c r="N5" s="847"/>
      <c r="O5" s="847"/>
      <c r="P5" s="847"/>
      <c r="Q5" s="847"/>
    </row>
    <row r="6" spans="1:17" s="2" customFormat="1" ht="40.5" customHeight="1" x14ac:dyDescent="0.2">
      <c r="A6" s="847"/>
      <c r="B6" s="847"/>
      <c r="C6" s="847"/>
      <c r="D6" s="847"/>
      <c r="E6" s="847"/>
      <c r="F6" s="847"/>
      <c r="G6" s="847"/>
      <c r="H6" s="847"/>
      <c r="I6" s="847"/>
      <c r="J6" s="847"/>
      <c r="K6" s="847"/>
      <c r="L6" s="847"/>
      <c r="M6" s="847"/>
      <c r="N6" s="847"/>
      <c r="O6" s="847"/>
      <c r="P6" s="847"/>
      <c r="Q6" s="847"/>
    </row>
    <row r="7" spans="1:17" ht="29.25" customHeight="1" thickBot="1" x14ac:dyDescent="0.45">
      <c r="A7" s="25" t="s">
        <v>32</v>
      </c>
      <c r="B7" s="6"/>
      <c r="C7" s="108" t="s">
        <v>487</v>
      </c>
      <c r="D7" s="23"/>
      <c r="E7" s="23"/>
      <c r="F7" s="24"/>
      <c r="G7" s="23"/>
      <c r="H7" s="23"/>
      <c r="I7" s="23"/>
      <c r="J7" s="23"/>
      <c r="K7" s="23"/>
      <c r="L7" s="23"/>
      <c r="M7" s="23"/>
      <c r="N7" s="23"/>
    </row>
    <row r="8" spans="1:17" ht="83.25" customHeight="1" x14ac:dyDescent="0.2">
      <c r="A8" s="842" t="s">
        <v>10</v>
      </c>
      <c r="B8" s="884" t="s">
        <v>95</v>
      </c>
      <c r="C8" s="844" t="s">
        <v>89</v>
      </c>
      <c r="D8" s="844" t="s">
        <v>11</v>
      </c>
      <c r="E8" s="844" t="s">
        <v>62</v>
      </c>
      <c r="F8" s="881" t="s">
        <v>34</v>
      </c>
      <c r="G8" s="904" t="s">
        <v>485</v>
      </c>
      <c r="H8" s="904" t="s">
        <v>630</v>
      </c>
      <c r="I8" s="904" t="s">
        <v>485</v>
      </c>
      <c r="J8" s="904" t="s">
        <v>485</v>
      </c>
      <c r="K8" s="907" t="s">
        <v>77</v>
      </c>
      <c r="L8" s="910" t="s">
        <v>664</v>
      </c>
      <c r="M8" s="854" t="s">
        <v>71</v>
      </c>
      <c r="N8" s="851" t="s">
        <v>72</v>
      </c>
    </row>
    <row r="9" spans="1:17" ht="45.75" customHeight="1" x14ac:dyDescent="0.2">
      <c r="A9" s="843"/>
      <c r="B9" s="885"/>
      <c r="C9" s="845"/>
      <c r="D9" s="845"/>
      <c r="E9" s="845"/>
      <c r="F9" s="882"/>
      <c r="G9" s="905"/>
      <c r="H9" s="905"/>
      <c r="I9" s="905"/>
      <c r="J9" s="905"/>
      <c r="K9" s="908"/>
      <c r="L9" s="911"/>
      <c r="M9" s="855"/>
      <c r="N9" s="852"/>
    </row>
    <row r="10" spans="1:17" ht="37.5" customHeight="1" x14ac:dyDescent="0.2">
      <c r="A10" s="843"/>
      <c r="B10" s="885"/>
      <c r="C10" s="845"/>
      <c r="D10" s="845"/>
      <c r="E10" s="845"/>
      <c r="F10" s="882"/>
      <c r="G10" s="905"/>
      <c r="H10" s="905"/>
      <c r="I10" s="905"/>
      <c r="J10" s="905"/>
      <c r="K10" s="908"/>
      <c r="L10" s="911"/>
      <c r="M10" s="855"/>
      <c r="N10" s="852"/>
    </row>
    <row r="11" spans="1:17" ht="140.25" customHeight="1" x14ac:dyDescent="0.2">
      <c r="A11" s="843"/>
      <c r="B11" s="886"/>
      <c r="C11" s="845"/>
      <c r="D11" s="845"/>
      <c r="E11" s="845"/>
      <c r="F11" s="883"/>
      <c r="G11" s="906"/>
      <c r="H11" s="906"/>
      <c r="I11" s="906"/>
      <c r="J11" s="906"/>
      <c r="K11" s="909"/>
      <c r="L11" s="912"/>
      <c r="M11" s="856"/>
      <c r="N11" s="853"/>
    </row>
    <row r="12" spans="1:17" ht="43.5" customHeight="1" x14ac:dyDescent="0.3">
      <c r="A12" s="876" t="s">
        <v>15</v>
      </c>
      <c r="B12" s="877"/>
      <c r="C12" s="877"/>
      <c r="D12" s="877"/>
      <c r="E12" s="877"/>
      <c r="F12" s="64">
        <f>F13+F19+F42+F46+F52</f>
        <v>864000</v>
      </c>
      <c r="G12" s="64">
        <f>G13+G19+G42+G46+G52</f>
        <v>0</v>
      </c>
      <c r="H12" s="64">
        <f t="shared" ref="H12:N12" si="0">H13+H19+H42+H46+H52</f>
        <v>0</v>
      </c>
      <c r="I12" s="64">
        <f t="shared" si="0"/>
        <v>0</v>
      </c>
      <c r="J12" s="64">
        <f t="shared" si="0"/>
        <v>0</v>
      </c>
      <c r="K12" s="64">
        <f t="shared" si="0"/>
        <v>864000</v>
      </c>
      <c r="L12" s="65">
        <f t="shared" si="0"/>
        <v>0</v>
      </c>
      <c r="M12" s="110">
        <f t="shared" si="0"/>
        <v>0</v>
      </c>
      <c r="N12" s="65">
        <f t="shared" si="0"/>
        <v>0</v>
      </c>
    </row>
    <row r="13" spans="1:17" ht="42.75" hidden="1" customHeight="1" x14ac:dyDescent="0.3">
      <c r="A13" s="872" t="s">
        <v>94</v>
      </c>
      <c r="B13" s="873"/>
      <c r="C13" s="873"/>
      <c r="D13" s="874">
        <v>210</v>
      </c>
      <c r="E13" s="875"/>
      <c r="F13" s="47">
        <f t="shared" ref="F13:F18" si="1">SUM(G13:N13)</f>
        <v>0</v>
      </c>
      <c r="G13" s="47">
        <f>G14+G15+G16+G17</f>
        <v>0</v>
      </c>
      <c r="H13" s="47">
        <f t="shared" ref="H13:N13" si="2">H14+H15+H16+H17</f>
        <v>0</v>
      </c>
      <c r="I13" s="47">
        <f t="shared" si="2"/>
        <v>0</v>
      </c>
      <c r="J13" s="47">
        <f t="shared" si="2"/>
        <v>0</v>
      </c>
      <c r="K13" s="47">
        <f t="shared" si="2"/>
        <v>0</v>
      </c>
      <c r="L13" s="56">
        <f t="shared" si="2"/>
        <v>0</v>
      </c>
      <c r="M13" s="111">
        <f t="shared" si="2"/>
        <v>0</v>
      </c>
      <c r="N13" s="56">
        <f t="shared" si="2"/>
        <v>0</v>
      </c>
    </row>
    <row r="14" spans="1:17" ht="36" hidden="1" customHeight="1" x14ac:dyDescent="0.25">
      <c r="A14" s="20" t="s">
        <v>16</v>
      </c>
      <c r="B14" s="40" t="s">
        <v>96</v>
      </c>
      <c r="C14" s="125" t="s">
        <v>47</v>
      </c>
      <c r="D14" s="67">
        <v>21101</v>
      </c>
      <c r="E14" s="125" t="s">
        <v>90</v>
      </c>
      <c r="F14" s="13">
        <f t="shared" si="1"/>
        <v>0</v>
      </c>
      <c r="G14" s="13"/>
      <c r="H14" s="13"/>
      <c r="I14" s="13"/>
      <c r="J14" s="13"/>
      <c r="K14" s="13"/>
      <c r="L14" s="18"/>
      <c r="M14" s="112"/>
      <c r="N14" s="18"/>
    </row>
    <row r="15" spans="1:17" ht="35.25" hidden="1" customHeight="1" x14ac:dyDescent="0.25">
      <c r="A15" s="16" t="s">
        <v>17</v>
      </c>
      <c r="B15" s="40" t="s">
        <v>97</v>
      </c>
      <c r="C15" s="125" t="s">
        <v>48</v>
      </c>
      <c r="D15" s="67">
        <v>21300</v>
      </c>
      <c r="E15" s="125" t="s">
        <v>18</v>
      </c>
      <c r="F15" s="13">
        <f t="shared" si="1"/>
        <v>0</v>
      </c>
      <c r="G15" s="13"/>
      <c r="H15" s="13"/>
      <c r="I15" s="13"/>
      <c r="J15" s="13"/>
      <c r="K15" s="13"/>
      <c r="L15" s="18"/>
      <c r="M15" s="112"/>
      <c r="N15" s="18"/>
    </row>
    <row r="16" spans="1:17" ht="36" hidden="1" customHeight="1" x14ac:dyDescent="0.25">
      <c r="A16" s="16" t="s">
        <v>98</v>
      </c>
      <c r="B16" s="40" t="s">
        <v>99</v>
      </c>
      <c r="C16" s="125" t="s">
        <v>48</v>
      </c>
      <c r="D16" s="67">
        <v>21300</v>
      </c>
      <c r="E16" s="125" t="s">
        <v>18</v>
      </c>
      <c r="F16" s="13">
        <f t="shared" si="1"/>
        <v>0</v>
      </c>
      <c r="G16" s="13"/>
      <c r="H16" s="13"/>
      <c r="I16" s="13"/>
      <c r="J16" s="13"/>
      <c r="K16" s="13"/>
      <c r="L16" s="18"/>
      <c r="M16" s="112"/>
      <c r="N16" s="18"/>
    </row>
    <row r="17" spans="1:14" ht="29.25" hidden="1" customHeight="1" x14ac:dyDescent="0.3">
      <c r="A17" s="862" t="s">
        <v>12</v>
      </c>
      <c r="B17" s="863"/>
      <c r="C17" s="863"/>
      <c r="D17" s="860">
        <v>212</v>
      </c>
      <c r="E17" s="861"/>
      <c r="F17" s="44">
        <f t="shared" si="1"/>
        <v>0</v>
      </c>
      <c r="G17" s="44">
        <f>G18</f>
        <v>0</v>
      </c>
      <c r="H17" s="44">
        <f t="shared" ref="H17:N17" si="3">H18</f>
        <v>0</v>
      </c>
      <c r="I17" s="44">
        <f t="shared" si="3"/>
        <v>0</v>
      </c>
      <c r="J17" s="44">
        <f t="shared" si="3"/>
        <v>0</v>
      </c>
      <c r="K17" s="44">
        <f t="shared" si="3"/>
        <v>0</v>
      </c>
      <c r="L17" s="50">
        <f t="shared" si="3"/>
        <v>0</v>
      </c>
      <c r="M17" s="113">
        <f t="shared" si="3"/>
        <v>0</v>
      </c>
      <c r="N17" s="50">
        <f t="shared" si="3"/>
        <v>0</v>
      </c>
    </row>
    <row r="18" spans="1:14" ht="34.5" hidden="1" customHeight="1" x14ac:dyDescent="0.3">
      <c r="A18" s="57" t="s">
        <v>112</v>
      </c>
      <c r="B18" s="39" t="s">
        <v>100</v>
      </c>
      <c r="C18" s="38">
        <v>112</v>
      </c>
      <c r="D18" s="41">
        <v>21201</v>
      </c>
      <c r="E18" s="125" t="s">
        <v>59</v>
      </c>
      <c r="F18" s="13">
        <f t="shared" si="1"/>
        <v>0</v>
      </c>
      <c r="G18" s="13"/>
      <c r="H18" s="13"/>
      <c r="I18" s="13"/>
      <c r="J18" s="13"/>
      <c r="K18" s="14"/>
      <c r="L18" s="17"/>
      <c r="M18" s="114"/>
      <c r="N18" s="17"/>
    </row>
    <row r="19" spans="1:14" ht="27.75" customHeight="1" x14ac:dyDescent="0.3">
      <c r="A19" s="864" t="s">
        <v>92</v>
      </c>
      <c r="B19" s="865"/>
      <c r="C19" s="866"/>
      <c r="D19" s="867">
        <v>220</v>
      </c>
      <c r="E19" s="868"/>
      <c r="F19" s="45">
        <f>F20+F21+F22+F26+F33</f>
        <v>0</v>
      </c>
      <c r="G19" s="45">
        <f>G20+G21+G22+G26+G33</f>
        <v>0</v>
      </c>
      <c r="H19" s="45">
        <f t="shared" ref="H19:N19" si="4">H20+H21+H22+H26+H33</f>
        <v>0</v>
      </c>
      <c r="I19" s="45">
        <f t="shared" si="4"/>
        <v>0</v>
      </c>
      <c r="J19" s="45">
        <f t="shared" si="4"/>
        <v>0</v>
      </c>
      <c r="K19" s="45">
        <f t="shared" si="4"/>
        <v>0</v>
      </c>
      <c r="L19" s="46">
        <f t="shared" si="4"/>
        <v>0</v>
      </c>
      <c r="M19" s="115">
        <f t="shared" si="4"/>
        <v>0</v>
      </c>
      <c r="N19" s="46">
        <f t="shared" si="4"/>
        <v>0</v>
      </c>
    </row>
    <row r="20" spans="1:14" ht="29.25" customHeight="1" x14ac:dyDescent="0.25">
      <c r="A20" s="51" t="s">
        <v>0</v>
      </c>
      <c r="B20" s="52" t="s">
        <v>100</v>
      </c>
      <c r="C20" s="53" t="s">
        <v>49</v>
      </c>
      <c r="D20" s="54">
        <v>22100</v>
      </c>
      <c r="E20" s="53" t="s">
        <v>113</v>
      </c>
      <c r="F20" s="48">
        <f>SUM(G20:N20)</f>
        <v>0</v>
      </c>
      <c r="G20" s="48"/>
      <c r="H20" s="48"/>
      <c r="I20" s="48"/>
      <c r="J20" s="48"/>
      <c r="K20" s="48"/>
      <c r="L20" s="49"/>
      <c r="M20" s="116"/>
      <c r="N20" s="49"/>
    </row>
    <row r="21" spans="1:14" ht="27" customHeight="1" x14ac:dyDescent="0.25">
      <c r="A21" s="51" t="s">
        <v>93</v>
      </c>
      <c r="B21" s="52" t="s">
        <v>100</v>
      </c>
      <c r="C21" s="53" t="s">
        <v>49</v>
      </c>
      <c r="D21" s="54">
        <v>22299</v>
      </c>
      <c r="E21" s="53" t="s">
        <v>60</v>
      </c>
      <c r="F21" s="48">
        <f>SUM(G21:N21)</f>
        <v>0</v>
      </c>
      <c r="G21" s="48"/>
      <c r="H21" s="48"/>
      <c r="I21" s="48"/>
      <c r="J21" s="48"/>
      <c r="K21" s="48"/>
      <c r="L21" s="49"/>
      <c r="M21" s="116"/>
      <c r="N21" s="49"/>
    </row>
    <row r="22" spans="1:14" ht="31.5" customHeight="1" x14ac:dyDescent="0.3">
      <c r="A22" s="857" t="s">
        <v>19</v>
      </c>
      <c r="B22" s="858"/>
      <c r="C22" s="859"/>
      <c r="D22" s="900">
        <v>223</v>
      </c>
      <c r="E22" s="901"/>
      <c r="F22" s="48">
        <f>SUM(F23:F25)</f>
        <v>0</v>
      </c>
      <c r="G22" s="48">
        <f>SUM(G23:G25)</f>
        <v>0</v>
      </c>
      <c r="H22" s="48">
        <f t="shared" ref="H22:N22" si="5">SUM(H23:H25)</f>
        <v>0</v>
      </c>
      <c r="I22" s="48">
        <f t="shared" si="5"/>
        <v>0</v>
      </c>
      <c r="J22" s="48">
        <f t="shared" si="5"/>
        <v>0</v>
      </c>
      <c r="K22" s="48">
        <f t="shared" si="5"/>
        <v>0</v>
      </c>
      <c r="L22" s="49">
        <f t="shared" si="5"/>
        <v>0</v>
      </c>
      <c r="M22" s="116">
        <f t="shared" si="5"/>
        <v>0</v>
      </c>
      <c r="N22" s="49">
        <f t="shared" si="5"/>
        <v>0</v>
      </c>
    </row>
    <row r="23" spans="1:14" ht="24.75" customHeight="1" x14ac:dyDescent="0.25">
      <c r="A23" s="37" t="s">
        <v>20</v>
      </c>
      <c r="B23" s="40" t="s">
        <v>102</v>
      </c>
      <c r="C23" s="125" t="s">
        <v>543</v>
      </c>
      <c r="D23" s="67">
        <v>22301</v>
      </c>
      <c r="E23" s="125" t="s">
        <v>69</v>
      </c>
      <c r="F23" s="13">
        <f>SUM(G23:N23)</f>
        <v>0</v>
      </c>
      <c r="G23" s="13"/>
      <c r="H23" s="13"/>
      <c r="I23" s="13"/>
      <c r="J23" s="13"/>
      <c r="K23" s="13"/>
      <c r="L23" s="18"/>
      <c r="M23" s="112"/>
      <c r="N23" s="18"/>
    </row>
    <row r="24" spans="1:14" ht="33.75" customHeight="1" x14ac:dyDescent="0.25">
      <c r="A24" s="20" t="s">
        <v>5</v>
      </c>
      <c r="B24" s="40" t="s">
        <v>102</v>
      </c>
      <c r="C24" s="125" t="s">
        <v>49</v>
      </c>
      <c r="D24" s="67">
        <v>22302</v>
      </c>
      <c r="E24" s="125" t="s">
        <v>69</v>
      </c>
      <c r="F24" s="13">
        <f>SUM(G24:N24)</f>
        <v>0</v>
      </c>
      <c r="G24" s="13"/>
      <c r="H24" s="13"/>
      <c r="I24" s="13"/>
      <c r="J24" s="13"/>
      <c r="K24" s="13"/>
      <c r="L24" s="18"/>
      <c r="M24" s="112"/>
      <c r="N24" s="18"/>
    </row>
    <row r="25" spans="1:14" ht="31.5" customHeight="1" x14ac:dyDescent="0.25">
      <c r="A25" s="37" t="s">
        <v>21</v>
      </c>
      <c r="B25" s="40" t="s">
        <v>102</v>
      </c>
      <c r="C25" s="125" t="s">
        <v>543</v>
      </c>
      <c r="D25" s="67">
        <v>22303</v>
      </c>
      <c r="E25" s="125" t="s">
        <v>69</v>
      </c>
      <c r="F25" s="13">
        <f>SUM(G25:N25)</f>
        <v>0</v>
      </c>
      <c r="G25" s="13"/>
      <c r="H25" s="13"/>
      <c r="I25" s="13"/>
      <c r="J25" s="13"/>
      <c r="K25" s="13"/>
      <c r="L25" s="18"/>
      <c r="M25" s="112"/>
      <c r="N25" s="18"/>
    </row>
    <row r="26" spans="1:14" ht="36" customHeight="1" x14ac:dyDescent="0.3">
      <c r="A26" s="857" t="s">
        <v>103</v>
      </c>
      <c r="B26" s="858"/>
      <c r="C26" s="859"/>
      <c r="D26" s="860">
        <v>225</v>
      </c>
      <c r="E26" s="861"/>
      <c r="F26" s="48">
        <f>SUM(F27:F32)</f>
        <v>0</v>
      </c>
      <c r="G26" s="48">
        <f>SUM(G27:G32)</f>
        <v>0</v>
      </c>
      <c r="H26" s="48">
        <f>SUM(H27:H32)</f>
        <v>0</v>
      </c>
      <c r="I26" s="48">
        <f t="shared" ref="I26:N26" si="6">SUM(I27:I29)</f>
        <v>0</v>
      </c>
      <c r="J26" s="48">
        <f t="shared" si="6"/>
        <v>0</v>
      </c>
      <c r="K26" s="48">
        <f t="shared" si="6"/>
        <v>0</v>
      </c>
      <c r="L26" s="49">
        <f t="shared" si="6"/>
        <v>0</v>
      </c>
      <c r="M26" s="116">
        <f t="shared" si="6"/>
        <v>0</v>
      </c>
      <c r="N26" s="49">
        <f t="shared" si="6"/>
        <v>0</v>
      </c>
    </row>
    <row r="27" spans="1:14" ht="35.25" customHeight="1" x14ac:dyDescent="0.25">
      <c r="A27" s="42" t="s">
        <v>54</v>
      </c>
      <c r="B27" s="40" t="s">
        <v>100</v>
      </c>
      <c r="C27" s="125" t="s">
        <v>49</v>
      </c>
      <c r="D27" s="67">
        <v>22501</v>
      </c>
      <c r="E27" s="125" t="s">
        <v>104</v>
      </c>
      <c r="F27" s="13">
        <f t="shared" ref="F27:F45" si="7">SUM(G27:N27)</f>
        <v>0</v>
      </c>
      <c r="G27" s="13"/>
      <c r="H27" s="13"/>
      <c r="I27" s="13"/>
      <c r="J27" s="13"/>
      <c r="K27" s="13"/>
      <c r="L27" s="18"/>
      <c r="M27" s="112"/>
      <c r="N27" s="18"/>
    </row>
    <row r="28" spans="1:14" ht="23.25" customHeight="1" x14ac:dyDescent="0.25">
      <c r="A28" s="42" t="s">
        <v>58</v>
      </c>
      <c r="B28" s="40" t="s">
        <v>100</v>
      </c>
      <c r="C28" s="125" t="s">
        <v>49</v>
      </c>
      <c r="D28" s="67">
        <v>22502</v>
      </c>
      <c r="E28" s="125" t="s">
        <v>104</v>
      </c>
      <c r="F28" s="13">
        <f t="shared" si="7"/>
        <v>0</v>
      </c>
      <c r="G28" s="13">
        <f>5000-5000</f>
        <v>0</v>
      </c>
      <c r="H28" s="13"/>
      <c r="I28" s="13"/>
      <c r="J28" s="13"/>
      <c r="K28" s="13"/>
      <c r="L28" s="18"/>
      <c r="M28" s="112"/>
      <c r="N28" s="18"/>
    </row>
    <row r="29" spans="1:14" ht="24.75" customHeight="1" x14ac:dyDescent="0.25">
      <c r="A29" s="43" t="s">
        <v>56</v>
      </c>
      <c r="B29" s="40" t="s">
        <v>100</v>
      </c>
      <c r="C29" s="125" t="s">
        <v>49</v>
      </c>
      <c r="D29" s="67">
        <v>22503</v>
      </c>
      <c r="E29" s="125" t="s">
        <v>104</v>
      </c>
      <c r="F29" s="13">
        <f t="shared" si="7"/>
        <v>0</v>
      </c>
      <c r="G29" s="13"/>
      <c r="H29" s="13"/>
      <c r="I29" s="13"/>
      <c r="J29" s="13"/>
      <c r="K29" s="13"/>
      <c r="L29" s="18"/>
      <c r="M29" s="112"/>
      <c r="N29" s="18"/>
    </row>
    <row r="30" spans="1:14" ht="32.25" customHeight="1" x14ac:dyDescent="0.25">
      <c r="A30" s="43" t="s">
        <v>57</v>
      </c>
      <c r="B30" s="40" t="s">
        <v>100</v>
      </c>
      <c r="C30" s="125" t="s">
        <v>49</v>
      </c>
      <c r="D30" s="67">
        <v>22504</v>
      </c>
      <c r="E30" s="125" t="s">
        <v>104</v>
      </c>
      <c r="F30" s="13">
        <f t="shared" si="7"/>
        <v>0</v>
      </c>
      <c r="G30" s="13"/>
      <c r="H30" s="13"/>
      <c r="I30" s="13"/>
      <c r="J30" s="13"/>
      <c r="K30" s="13"/>
      <c r="L30" s="18"/>
      <c r="M30" s="112"/>
      <c r="N30" s="18"/>
    </row>
    <row r="31" spans="1:14" ht="25.5" customHeight="1" x14ac:dyDescent="0.25">
      <c r="A31" s="42" t="s">
        <v>55</v>
      </c>
      <c r="B31" s="40" t="s">
        <v>100</v>
      </c>
      <c r="C31" s="125" t="s">
        <v>49</v>
      </c>
      <c r="D31" s="67">
        <v>22505</v>
      </c>
      <c r="E31" s="125" t="s">
        <v>104</v>
      </c>
      <c r="F31" s="13">
        <f t="shared" si="7"/>
        <v>0</v>
      </c>
      <c r="G31" s="13"/>
      <c r="H31" s="13"/>
      <c r="I31" s="13"/>
      <c r="J31" s="13"/>
      <c r="K31" s="13"/>
      <c r="L31" s="18"/>
      <c r="M31" s="112"/>
      <c r="N31" s="18"/>
    </row>
    <row r="32" spans="1:14" ht="34.5" customHeight="1" x14ac:dyDescent="0.25">
      <c r="A32" s="42" t="s">
        <v>22</v>
      </c>
      <c r="B32" s="40" t="s">
        <v>100</v>
      </c>
      <c r="C32" s="125" t="s">
        <v>49</v>
      </c>
      <c r="D32" s="67">
        <v>22599</v>
      </c>
      <c r="E32" s="125" t="s">
        <v>104</v>
      </c>
      <c r="F32" s="13">
        <f t="shared" si="7"/>
        <v>0</v>
      </c>
      <c r="G32" s="13"/>
      <c r="H32" s="13"/>
      <c r="I32" s="13"/>
      <c r="J32" s="13"/>
      <c r="K32" s="13"/>
      <c r="L32" s="18"/>
      <c r="M32" s="112"/>
      <c r="N32" s="18"/>
    </row>
    <row r="33" spans="1:14" ht="28.5" customHeight="1" x14ac:dyDescent="0.3">
      <c r="A33" s="862" t="s">
        <v>109</v>
      </c>
      <c r="B33" s="863"/>
      <c r="C33" s="863"/>
      <c r="D33" s="860">
        <v>226</v>
      </c>
      <c r="E33" s="861"/>
      <c r="F33" s="44">
        <f t="shared" si="7"/>
        <v>0</v>
      </c>
      <c r="G33" s="44">
        <f>SUM(G34:G41)</f>
        <v>0</v>
      </c>
      <c r="H33" s="44">
        <f t="shared" ref="H33:N33" si="8">SUM(H34:H41)</f>
        <v>0</v>
      </c>
      <c r="I33" s="44">
        <f t="shared" si="8"/>
        <v>0</v>
      </c>
      <c r="J33" s="44">
        <f t="shared" si="8"/>
        <v>0</v>
      </c>
      <c r="K33" s="44">
        <f t="shared" si="8"/>
        <v>0</v>
      </c>
      <c r="L33" s="50">
        <f t="shared" si="8"/>
        <v>0</v>
      </c>
      <c r="M33" s="113">
        <f t="shared" si="8"/>
        <v>0</v>
      </c>
      <c r="N33" s="50">
        <f t="shared" si="8"/>
        <v>0</v>
      </c>
    </row>
    <row r="34" spans="1:14" ht="24" customHeight="1" x14ac:dyDescent="0.25">
      <c r="A34" s="43" t="s">
        <v>33</v>
      </c>
      <c r="B34" s="40" t="s">
        <v>100</v>
      </c>
      <c r="C34" s="125" t="s">
        <v>49</v>
      </c>
      <c r="D34" s="67">
        <v>22601</v>
      </c>
      <c r="E34" s="125" t="s">
        <v>110</v>
      </c>
      <c r="F34" s="13">
        <f t="shared" si="7"/>
        <v>0</v>
      </c>
      <c r="G34" s="13"/>
      <c r="H34" s="13"/>
      <c r="I34" s="13"/>
      <c r="J34" s="13"/>
      <c r="K34" s="13"/>
      <c r="L34" s="18"/>
      <c r="M34" s="112"/>
      <c r="N34" s="18"/>
    </row>
    <row r="35" spans="1:14" ht="31.5" customHeight="1" x14ac:dyDescent="0.25">
      <c r="A35" s="42" t="s">
        <v>111</v>
      </c>
      <c r="B35" s="40" t="s">
        <v>100</v>
      </c>
      <c r="C35" s="125" t="s">
        <v>50</v>
      </c>
      <c r="D35" s="67">
        <v>22602</v>
      </c>
      <c r="E35" s="125" t="s">
        <v>110</v>
      </c>
      <c r="F35" s="13">
        <f t="shared" si="7"/>
        <v>0</v>
      </c>
      <c r="G35" s="13"/>
      <c r="H35" s="13"/>
      <c r="I35" s="13"/>
      <c r="J35" s="13"/>
      <c r="K35" s="13"/>
      <c r="L35" s="18"/>
      <c r="M35" s="112"/>
      <c r="N35" s="18"/>
    </row>
    <row r="36" spans="1:14" ht="34.5" customHeight="1" x14ac:dyDescent="0.25">
      <c r="A36" s="42" t="s">
        <v>114</v>
      </c>
      <c r="B36" s="40" t="s">
        <v>100</v>
      </c>
      <c r="C36" s="125" t="s">
        <v>115</v>
      </c>
      <c r="D36" s="67">
        <v>22602</v>
      </c>
      <c r="E36" s="125" t="s">
        <v>110</v>
      </c>
      <c r="F36" s="13">
        <f t="shared" si="7"/>
        <v>0</v>
      </c>
      <c r="G36" s="13"/>
      <c r="H36" s="13"/>
      <c r="I36" s="13"/>
      <c r="J36" s="13"/>
      <c r="K36" s="13"/>
      <c r="L36" s="18"/>
      <c r="M36" s="112"/>
      <c r="N36" s="18"/>
    </row>
    <row r="37" spans="1:14" ht="22.5" customHeight="1" x14ac:dyDescent="0.25">
      <c r="A37" s="42" t="s">
        <v>23</v>
      </c>
      <c r="B37" s="40" t="s">
        <v>100</v>
      </c>
      <c r="C37" s="125" t="s">
        <v>49</v>
      </c>
      <c r="D37" s="67">
        <v>22603</v>
      </c>
      <c r="E37" s="125" t="s">
        <v>110</v>
      </c>
      <c r="F37" s="13">
        <f t="shared" si="7"/>
        <v>0</v>
      </c>
      <c r="G37" s="13"/>
      <c r="H37" s="13"/>
      <c r="I37" s="13"/>
      <c r="J37" s="13"/>
      <c r="K37" s="13"/>
      <c r="L37" s="18"/>
      <c r="M37" s="112"/>
      <c r="N37" s="18"/>
    </row>
    <row r="38" spans="1:14" ht="34.5" customHeight="1" x14ac:dyDescent="0.25">
      <c r="A38" s="42" t="s">
        <v>24</v>
      </c>
      <c r="B38" s="40" t="s">
        <v>100</v>
      </c>
      <c r="C38" s="125" t="s">
        <v>49</v>
      </c>
      <c r="D38" s="67">
        <v>22605</v>
      </c>
      <c r="E38" s="125" t="s">
        <v>110</v>
      </c>
      <c r="F38" s="13">
        <f t="shared" si="7"/>
        <v>0</v>
      </c>
      <c r="G38" s="13"/>
      <c r="H38" s="13"/>
      <c r="I38" s="13"/>
      <c r="J38" s="13"/>
      <c r="K38" s="13"/>
      <c r="L38" s="18"/>
      <c r="M38" s="112"/>
      <c r="N38" s="18"/>
    </row>
    <row r="39" spans="1:14" ht="51" customHeight="1" x14ac:dyDescent="0.25">
      <c r="A39" s="42" t="s">
        <v>116</v>
      </c>
      <c r="B39" s="40" t="s">
        <v>100</v>
      </c>
      <c r="C39" s="125" t="s">
        <v>50</v>
      </c>
      <c r="D39" s="67">
        <v>22606</v>
      </c>
      <c r="E39" s="125" t="s">
        <v>110</v>
      </c>
      <c r="F39" s="13">
        <f t="shared" si="7"/>
        <v>0</v>
      </c>
      <c r="G39" s="13"/>
      <c r="H39" s="13"/>
      <c r="I39" s="13"/>
      <c r="J39" s="13"/>
      <c r="K39" s="13"/>
      <c r="L39" s="18"/>
      <c r="M39" s="112"/>
      <c r="N39" s="18"/>
    </row>
    <row r="40" spans="1:14" ht="49.5" customHeight="1" x14ac:dyDescent="0.25">
      <c r="A40" s="42" t="s">
        <v>117</v>
      </c>
      <c r="B40" s="40" t="s">
        <v>100</v>
      </c>
      <c r="C40" s="125" t="s">
        <v>50</v>
      </c>
      <c r="D40" s="67">
        <v>22699</v>
      </c>
      <c r="E40" s="125" t="s">
        <v>110</v>
      </c>
      <c r="F40" s="13">
        <f t="shared" si="7"/>
        <v>0</v>
      </c>
      <c r="G40" s="13"/>
      <c r="H40" s="13"/>
      <c r="I40" s="13"/>
      <c r="J40" s="13"/>
      <c r="K40" s="13"/>
      <c r="L40" s="18"/>
      <c r="M40" s="112"/>
      <c r="N40" s="18"/>
    </row>
    <row r="41" spans="1:14" ht="32.25" customHeight="1" x14ac:dyDescent="0.25">
      <c r="A41" s="42" t="s">
        <v>25</v>
      </c>
      <c r="B41" s="40" t="s">
        <v>100</v>
      </c>
      <c r="C41" s="125" t="s">
        <v>49</v>
      </c>
      <c r="D41" s="67">
        <v>22699</v>
      </c>
      <c r="E41" s="125" t="s">
        <v>110</v>
      </c>
      <c r="F41" s="13">
        <f>SUM(G41:N41)</f>
        <v>0</v>
      </c>
      <c r="G41" s="13"/>
      <c r="H41" s="13"/>
      <c r="I41" s="13"/>
      <c r="J41" s="13"/>
      <c r="K41" s="13"/>
      <c r="L41" s="18"/>
      <c r="M41" s="112"/>
      <c r="N41" s="36"/>
    </row>
    <row r="42" spans="1:14" ht="28.5" hidden="1" customHeight="1" x14ac:dyDescent="0.3">
      <c r="A42" s="872" t="s">
        <v>121</v>
      </c>
      <c r="B42" s="873"/>
      <c r="C42" s="873"/>
      <c r="D42" s="874">
        <v>266</v>
      </c>
      <c r="E42" s="875"/>
      <c r="F42" s="45">
        <f t="shared" si="7"/>
        <v>0</v>
      </c>
      <c r="G42" s="45">
        <f>SUM(G43:G45)</f>
        <v>0</v>
      </c>
      <c r="H42" s="45">
        <f t="shared" ref="H42:N42" si="9">SUM(H43:H45)</f>
        <v>0</v>
      </c>
      <c r="I42" s="45">
        <f t="shared" si="9"/>
        <v>0</v>
      </c>
      <c r="J42" s="45">
        <f t="shared" si="9"/>
        <v>0</v>
      </c>
      <c r="K42" s="45">
        <f t="shared" si="9"/>
        <v>0</v>
      </c>
      <c r="L42" s="46">
        <f t="shared" si="9"/>
        <v>0</v>
      </c>
      <c r="M42" s="115">
        <f t="shared" si="9"/>
        <v>0</v>
      </c>
      <c r="N42" s="46">
        <f t="shared" si="9"/>
        <v>0</v>
      </c>
    </row>
    <row r="43" spans="1:14" ht="39.75" hidden="1" customHeight="1" x14ac:dyDescent="0.25">
      <c r="A43" s="42" t="s">
        <v>118</v>
      </c>
      <c r="B43" s="40" t="s">
        <v>96</v>
      </c>
      <c r="C43" s="125" t="s">
        <v>47</v>
      </c>
      <c r="D43" s="67">
        <v>26600</v>
      </c>
      <c r="E43" s="125" t="s">
        <v>91</v>
      </c>
      <c r="F43" s="13">
        <f t="shared" si="7"/>
        <v>0</v>
      </c>
      <c r="G43" s="13"/>
      <c r="H43" s="13"/>
      <c r="I43" s="13"/>
      <c r="J43" s="13"/>
      <c r="K43" s="13"/>
      <c r="L43" s="18"/>
      <c r="M43" s="112"/>
      <c r="N43" s="18"/>
    </row>
    <row r="44" spans="1:14" ht="36.75" hidden="1" customHeight="1" x14ac:dyDescent="0.25">
      <c r="A44" s="42" t="s">
        <v>119</v>
      </c>
      <c r="B44" s="40" t="s">
        <v>100</v>
      </c>
      <c r="C44" s="125" t="s">
        <v>50</v>
      </c>
      <c r="D44" s="67">
        <v>26601</v>
      </c>
      <c r="E44" s="125" t="s">
        <v>91</v>
      </c>
      <c r="F44" s="13">
        <f t="shared" si="7"/>
        <v>0</v>
      </c>
      <c r="G44" s="13"/>
      <c r="H44" s="13"/>
      <c r="I44" s="13"/>
      <c r="J44" s="13"/>
      <c r="K44" s="13"/>
      <c r="L44" s="18"/>
      <c r="M44" s="112"/>
      <c r="N44" s="18"/>
    </row>
    <row r="45" spans="1:14" ht="52.5" hidden="1" customHeight="1" x14ac:dyDescent="0.25">
      <c r="A45" s="42" t="s">
        <v>120</v>
      </c>
      <c r="B45" s="40" t="s">
        <v>99</v>
      </c>
      <c r="C45" s="125" t="s">
        <v>50</v>
      </c>
      <c r="D45" s="67">
        <v>26602</v>
      </c>
      <c r="E45" s="125" t="s">
        <v>91</v>
      </c>
      <c r="F45" s="13">
        <f t="shared" si="7"/>
        <v>0</v>
      </c>
      <c r="G45" s="13"/>
      <c r="H45" s="13"/>
      <c r="I45" s="13"/>
      <c r="J45" s="13"/>
      <c r="K45" s="13"/>
      <c r="L45" s="18"/>
      <c r="M45" s="112"/>
      <c r="N45" s="18"/>
    </row>
    <row r="46" spans="1:14" s="1" customFormat="1" ht="26.25" hidden="1" customHeight="1" x14ac:dyDescent="0.3">
      <c r="A46" s="864" t="s">
        <v>31</v>
      </c>
      <c r="B46" s="865"/>
      <c r="C46" s="865"/>
      <c r="D46" s="874">
        <v>290</v>
      </c>
      <c r="E46" s="875"/>
      <c r="F46" s="45">
        <f>SUM(F47:F51)</f>
        <v>0</v>
      </c>
      <c r="G46" s="45">
        <f>SUM(G47:G51)</f>
        <v>0</v>
      </c>
      <c r="H46" s="45">
        <f t="shared" ref="H46:N46" si="10">SUM(H47:H51)</f>
        <v>0</v>
      </c>
      <c r="I46" s="45">
        <f t="shared" si="10"/>
        <v>0</v>
      </c>
      <c r="J46" s="45">
        <f t="shared" si="10"/>
        <v>0</v>
      </c>
      <c r="K46" s="45">
        <f t="shared" si="10"/>
        <v>0</v>
      </c>
      <c r="L46" s="46">
        <f t="shared" si="10"/>
        <v>0</v>
      </c>
      <c r="M46" s="115">
        <f t="shared" si="10"/>
        <v>0</v>
      </c>
      <c r="N46" s="46">
        <f t="shared" si="10"/>
        <v>0</v>
      </c>
    </row>
    <row r="47" spans="1:14" ht="30.75" hidden="1" customHeight="1" x14ac:dyDescent="0.25">
      <c r="A47" s="27" t="s">
        <v>122</v>
      </c>
      <c r="B47" s="40" t="s">
        <v>100</v>
      </c>
      <c r="C47" s="125" t="s">
        <v>51</v>
      </c>
      <c r="D47" s="67">
        <v>29001</v>
      </c>
      <c r="E47" s="125" t="s">
        <v>123</v>
      </c>
      <c r="F47" s="13">
        <f>SUM(G47:L47)</f>
        <v>0</v>
      </c>
      <c r="G47" s="13"/>
      <c r="H47" s="13"/>
      <c r="I47" s="13"/>
      <c r="J47" s="13"/>
      <c r="K47" s="13"/>
      <c r="L47" s="18"/>
      <c r="M47" s="117"/>
      <c r="N47" s="29"/>
    </row>
    <row r="48" spans="1:14" ht="30.75" hidden="1" customHeight="1" x14ac:dyDescent="0.25">
      <c r="A48" s="27" t="s">
        <v>124</v>
      </c>
      <c r="B48" s="40" t="s">
        <v>100</v>
      </c>
      <c r="C48" s="125" t="s">
        <v>52</v>
      </c>
      <c r="D48" s="67">
        <v>29001</v>
      </c>
      <c r="E48" s="125" t="s">
        <v>123</v>
      </c>
      <c r="F48" s="13">
        <f>SUM(G48:N48)</f>
        <v>0</v>
      </c>
      <c r="G48" s="13"/>
      <c r="H48" s="13"/>
      <c r="I48" s="13"/>
      <c r="J48" s="13"/>
      <c r="K48" s="13"/>
      <c r="L48" s="18"/>
      <c r="M48" s="112"/>
      <c r="N48" s="18"/>
    </row>
    <row r="49" spans="1:14" ht="31.5" hidden="1" customHeight="1" x14ac:dyDescent="0.25">
      <c r="A49" s="58" t="s">
        <v>125</v>
      </c>
      <c r="B49" s="40" t="s">
        <v>100</v>
      </c>
      <c r="C49" s="125" t="s">
        <v>53</v>
      </c>
      <c r="D49" s="67">
        <v>29001</v>
      </c>
      <c r="E49" s="125" t="s">
        <v>127</v>
      </c>
      <c r="F49" s="13">
        <f>SUM(G49:N49)</f>
        <v>0</v>
      </c>
      <c r="G49" s="13"/>
      <c r="H49" s="13"/>
      <c r="I49" s="13"/>
      <c r="J49" s="13"/>
      <c r="K49" s="13"/>
      <c r="L49" s="18"/>
      <c r="M49" s="112"/>
      <c r="N49" s="18"/>
    </row>
    <row r="50" spans="1:14" ht="38.25" hidden="1" customHeight="1" x14ac:dyDescent="0.25">
      <c r="A50" s="58" t="s">
        <v>126</v>
      </c>
      <c r="B50" s="40" t="s">
        <v>100</v>
      </c>
      <c r="C50" s="125" t="s">
        <v>53</v>
      </c>
      <c r="D50" s="67">
        <v>29001</v>
      </c>
      <c r="E50" s="125" t="s">
        <v>128</v>
      </c>
      <c r="F50" s="13">
        <f>SUM(G50:N50)</f>
        <v>0</v>
      </c>
      <c r="G50" s="13"/>
      <c r="H50" s="13"/>
      <c r="I50" s="13"/>
      <c r="J50" s="13"/>
      <c r="K50" s="13"/>
      <c r="L50" s="18"/>
      <c r="M50" s="112"/>
      <c r="N50" s="18"/>
    </row>
    <row r="51" spans="1:14" ht="34.5" hidden="1" customHeight="1" x14ac:dyDescent="0.25">
      <c r="A51" s="59" t="s">
        <v>130</v>
      </c>
      <c r="B51" s="40" t="s">
        <v>100</v>
      </c>
      <c r="C51" s="125" t="s">
        <v>53</v>
      </c>
      <c r="D51" s="67">
        <v>29001</v>
      </c>
      <c r="E51" s="125" t="s">
        <v>129</v>
      </c>
      <c r="F51" s="13">
        <f>SUM(G51:N51)</f>
        <v>0</v>
      </c>
      <c r="G51" s="13"/>
      <c r="H51" s="13"/>
      <c r="I51" s="13"/>
      <c r="J51" s="13"/>
      <c r="K51" s="13"/>
      <c r="L51" s="18"/>
      <c r="M51" s="112"/>
      <c r="N51" s="18"/>
    </row>
    <row r="52" spans="1:14" ht="36" customHeight="1" x14ac:dyDescent="0.3">
      <c r="A52" s="872" t="s">
        <v>131</v>
      </c>
      <c r="B52" s="873"/>
      <c r="C52" s="873"/>
      <c r="D52" s="902">
        <v>300</v>
      </c>
      <c r="E52" s="903"/>
      <c r="F52" s="45">
        <f>F53+F58</f>
        <v>864000</v>
      </c>
      <c r="G52" s="45">
        <f>G53+G58</f>
        <v>0</v>
      </c>
      <c r="H52" s="45">
        <f t="shared" ref="H52:N52" si="11">H53+H58</f>
        <v>0</v>
      </c>
      <c r="I52" s="45">
        <f t="shared" si="11"/>
        <v>0</v>
      </c>
      <c r="J52" s="45">
        <f t="shared" si="11"/>
        <v>0</v>
      </c>
      <c r="K52" s="45">
        <f t="shared" si="11"/>
        <v>864000</v>
      </c>
      <c r="L52" s="46">
        <f t="shared" si="11"/>
        <v>0</v>
      </c>
      <c r="M52" s="115">
        <f t="shared" si="11"/>
        <v>0</v>
      </c>
      <c r="N52" s="46">
        <f t="shared" si="11"/>
        <v>0</v>
      </c>
    </row>
    <row r="53" spans="1:14" ht="30.75" customHeight="1" x14ac:dyDescent="0.3">
      <c r="A53" s="857" t="s">
        <v>13</v>
      </c>
      <c r="B53" s="858"/>
      <c r="C53" s="859"/>
      <c r="D53" s="860">
        <v>310</v>
      </c>
      <c r="E53" s="861"/>
      <c r="F53" s="44">
        <f>SUM(G53:N53)</f>
        <v>0</v>
      </c>
      <c r="G53" s="44">
        <f>SUM(G54:G57)</f>
        <v>0</v>
      </c>
      <c r="H53" s="44">
        <f t="shared" ref="H53:N53" si="12">SUM(H54:H57)</f>
        <v>0</v>
      </c>
      <c r="I53" s="44">
        <f t="shared" si="12"/>
        <v>0</v>
      </c>
      <c r="J53" s="44">
        <f t="shared" si="12"/>
        <v>0</v>
      </c>
      <c r="K53" s="44">
        <f>SUM(K54:K57)</f>
        <v>0</v>
      </c>
      <c r="L53" s="50">
        <f t="shared" si="12"/>
        <v>0</v>
      </c>
      <c r="M53" s="113">
        <f t="shared" si="12"/>
        <v>0</v>
      </c>
      <c r="N53" s="50">
        <f t="shared" si="12"/>
        <v>0</v>
      </c>
    </row>
    <row r="54" spans="1:14" ht="27.75" customHeight="1" x14ac:dyDescent="0.25">
      <c r="A54" s="16" t="s">
        <v>132</v>
      </c>
      <c r="B54" s="40" t="s">
        <v>133</v>
      </c>
      <c r="C54" s="125" t="s">
        <v>49</v>
      </c>
      <c r="D54" s="67">
        <v>31003</v>
      </c>
      <c r="E54" s="125" t="s">
        <v>61</v>
      </c>
      <c r="F54" s="13">
        <f>SUM(G54:N54)</f>
        <v>0</v>
      </c>
      <c r="G54" s="13"/>
      <c r="H54" s="13"/>
      <c r="I54" s="13"/>
      <c r="J54" s="13"/>
      <c r="K54" s="13"/>
      <c r="L54" s="18"/>
      <c r="M54" s="112"/>
      <c r="N54" s="18"/>
    </row>
    <row r="55" spans="1:14" ht="25.5" customHeight="1" x14ac:dyDescent="0.25">
      <c r="A55" s="16" t="s">
        <v>6</v>
      </c>
      <c r="B55" s="40" t="s">
        <v>133</v>
      </c>
      <c r="C55" s="125" t="s">
        <v>49</v>
      </c>
      <c r="D55" s="67">
        <v>31004</v>
      </c>
      <c r="E55" s="125" t="s">
        <v>61</v>
      </c>
      <c r="F55" s="13">
        <f>SUM(G55:N55)</f>
        <v>0</v>
      </c>
      <c r="G55" s="13"/>
      <c r="H55" s="13"/>
      <c r="I55" s="13"/>
      <c r="J55" s="13"/>
      <c r="K55" s="13"/>
      <c r="L55" s="18"/>
      <c r="M55" s="112"/>
      <c r="N55" s="18"/>
    </row>
    <row r="56" spans="1:14" ht="28.5" customHeight="1" x14ac:dyDescent="0.25">
      <c r="A56" s="16" t="s">
        <v>7</v>
      </c>
      <c r="B56" s="40" t="s">
        <v>133</v>
      </c>
      <c r="C56" s="125" t="s">
        <v>49</v>
      </c>
      <c r="D56" s="67">
        <v>31005</v>
      </c>
      <c r="E56" s="125" t="s">
        <v>61</v>
      </c>
      <c r="F56" s="13">
        <f>SUM(G56:N56)</f>
        <v>0</v>
      </c>
      <c r="G56" s="13"/>
      <c r="H56" s="13"/>
      <c r="I56" s="13"/>
      <c r="J56" s="13"/>
      <c r="K56" s="13"/>
      <c r="L56" s="18"/>
      <c r="M56" s="112"/>
      <c r="N56" s="18"/>
    </row>
    <row r="57" spans="1:14" ht="36.75" customHeight="1" x14ac:dyDescent="0.25">
      <c r="A57" s="16" t="s">
        <v>8</v>
      </c>
      <c r="B57" s="40" t="s">
        <v>133</v>
      </c>
      <c r="C57" s="125" t="s">
        <v>49</v>
      </c>
      <c r="D57" s="67">
        <v>31099</v>
      </c>
      <c r="E57" s="125" t="s">
        <v>61</v>
      </c>
      <c r="F57" s="13">
        <f>SUM(G57:N57)</f>
        <v>0</v>
      </c>
      <c r="G57" s="13"/>
      <c r="H57" s="13">
        <f>25000-25000</f>
        <v>0</v>
      </c>
      <c r="I57" s="13"/>
      <c r="J57" s="13"/>
      <c r="K57" s="13"/>
      <c r="L57" s="18"/>
      <c r="M57" s="112"/>
      <c r="N57" s="18"/>
    </row>
    <row r="58" spans="1:14" ht="39.75" customHeight="1" x14ac:dyDescent="0.3">
      <c r="A58" s="857" t="s">
        <v>14</v>
      </c>
      <c r="B58" s="858"/>
      <c r="C58" s="859"/>
      <c r="D58" s="860">
        <v>340</v>
      </c>
      <c r="E58" s="861"/>
      <c r="F58" s="44">
        <f>F59+F60+F61+F62+F63+F64</f>
        <v>864000</v>
      </c>
      <c r="G58" s="44">
        <f>G59+G60+G61+G62+G63+G64</f>
        <v>0</v>
      </c>
      <c r="H58" s="44">
        <f t="shared" ref="H58:N58" si="13">H59+H60+H61+H62+H63+H64</f>
        <v>0</v>
      </c>
      <c r="I58" s="44">
        <f t="shared" si="13"/>
        <v>0</v>
      </c>
      <c r="J58" s="44">
        <f t="shared" si="13"/>
        <v>0</v>
      </c>
      <c r="K58" s="44">
        <f t="shared" si="13"/>
        <v>864000</v>
      </c>
      <c r="L58" s="50">
        <f t="shared" si="13"/>
        <v>0</v>
      </c>
      <c r="M58" s="113">
        <f t="shared" si="13"/>
        <v>0</v>
      </c>
      <c r="N58" s="50">
        <f t="shared" si="13"/>
        <v>0</v>
      </c>
    </row>
    <row r="59" spans="1:14" ht="31.5" customHeight="1" x14ac:dyDescent="0.25">
      <c r="A59" s="42" t="s">
        <v>3</v>
      </c>
      <c r="B59" s="40" t="s">
        <v>100</v>
      </c>
      <c r="C59" s="125" t="s">
        <v>49</v>
      </c>
      <c r="D59" s="67">
        <v>34001</v>
      </c>
      <c r="E59" s="125" t="s">
        <v>82</v>
      </c>
      <c r="F59" s="13">
        <f>SUM(G59:N59)</f>
        <v>0</v>
      </c>
      <c r="G59" s="13"/>
      <c r="H59" s="13"/>
      <c r="I59" s="13"/>
      <c r="J59" s="13"/>
      <c r="K59" s="13"/>
      <c r="L59" s="18"/>
      <c r="M59" s="118"/>
      <c r="N59" s="18">
        <f>525-525</f>
        <v>0</v>
      </c>
    </row>
    <row r="60" spans="1:14" ht="24.75" customHeight="1" x14ac:dyDescent="0.25">
      <c r="A60" s="42" t="s">
        <v>1</v>
      </c>
      <c r="B60" s="40" t="s">
        <v>100</v>
      </c>
      <c r="C60" s="125" t="s">
        <v>49</v>
      </c>
      <c r="D60" s="67">
        <v>34002</v>
      </c>
      <c r="E60" s="125" t="s">
        <v>83</v>
      </c>
      <c r="F60" s="13">
        <f>SUM(G60:N60)</f>
        <v>864000</v>
      </c>
      <c r="G60" s="13"/>
      <c r="H60" s="13"/>
      <c r="I60" s="13"/>
      <c r="J60" s="13"/>
      <c r="K60" s="13">
        <f>'РАСЧЕТ ВБ'!F8</f>
        <v>864000</v>
      </c>
      <c r="L60" s="18"/>
      <c r="M60" s="112"/>
      <c r="N60" s="18"/>
    </row>
    <row r="61" spans="1:14" ht="24.75" customHeight="1" x14ac:dyDescent="0.25">
      <c r="A61" s="42" t="s">
        <v>134</v>
      </c>
      <c r="B61" s="40" t="s">
        <v>135</v>
      </c>
      <c r="C61" s="125" t="s">
        <v>49</v>
      </c>
      <c r="D61" s="67">
        <v>34002</v>
      </c>
      <c r="E61" s="125" t="s">
        <v>83</v>
      </c>
      <c r="F61" s="13">
        <f>SUM(G61:N61)</f>
        <v>0</v>
      </c>
      <c r="G61" s="13"/>
      <c r="H61" s="13"/>
      <c r="I61" s="13"/>
      <c r="J61" s="13"/>
      <c r="K61" s="13"/>
      <c r="L61" s="18"/>
      <c r="M61" s="112"/>
      <c r="N61" s="18"/>
    </row>
    <row r="62" spans="1:14" ht="23.25" customHeight="1" x14ac:dyDescent="0.25">
      <c r="A62" s="42" t="s">
        <v>27</v>
      </c>
      <c r="B62" s="40" t="s">
        <v>100</v>
      </c>
      <c r="C62" s="125" t="s">
        <v>49</v>
      </c>
      <c r="D62" s="67">
        <v>34003</v>
      </c>
      <c r="E62" s="125" t="s">
        <v>84</v>
      </c>
      <c r="F62" s="13">
        <f>SUM(G62:N62)</f>
        <v>0</v>
      </c>
      <c r="G62" s="13"/>
      <c r="H62" s="13"/>
      <c r="I62" s="13"/>
      <c r="J62" s="13"/>
      <c r="K62" s="13"/>
      <c r="L62" s="18"/>
      <c r="M62" s="112"/>
      <c r="N62" s="18"/>
    </row>
    <row r="63" spans="1:14" ht="24" customHeight="1" x14ac:dyDescent="0.25">
      <c r="A63" s="42" t="s">
        <v>28</v>
      </c>
      <c r="B63" s="40" t="s">
        <v>100</v>
      </c>
      <c r="C63" s="125" t="s">
        <v>49</v>
      </c>
      <c r="D63" s="67">
        <v>34004</v>
      </c>
      <c r="E63" s="125" t="s">
        <v>85</v>
      </c>
      <c r="F63" s="13">
        <f>SUM(G63:N63)</f>
        <v>0</v>
      </c>
      <c r="G63" s="13"/>
      <c r="H63" s="13"/>
      <c r="I63" s="13"/>
      <c r="J63" s="13"/>
      <c r="K63" s="13"/>
      <c r="L63" s="18"/>
      <c r="M63" s="112"/>
      <c r="N63" s="18"/>
    </row>
    <row r="64" spans="1:14" ht="31.5" customHeight="1" x14ac:dyDescent="0.25">
      <c r="A64" s="895" t="s">
        <v>29</v>
      </c>
      <c r="B64" s="896"/>
      <c r="C64" s="897"/>
      <c r="D64" s="898">
        <v>34099</v>
      </c>
      <c r="E64" s="899"/>
      <c r="F64" s="32">
        <f>SUM(F65:F67)</f>
        <v>0</v>
      </c>
      <c r="G64" s="32">
        <f>SUM(G65:G67)</f>
        <v>0</v>
      </c>
      <c r="H64" s="32">
        <f t="shared" ref="H64:N64" si="14">SUM(H65:H67)</f>
        <v>0</v>
      </c>
      <c r="I64" s="32">
        <f t="shared" si="14"/>
        <v>0</v>
      </c>
      <c r="J64" s="32">
        <f t="shared" si="14"/>
        <v>0</v>
      </c>
      <c r="K64" s="32">
        <f t="shared" si="14"/>
        <v>0</v>
      </c>
      <c r="L64" s="55">
        <f t="shared" si="14"/>
        <v>0</v>
      </c>
      <c r="M64" s="119">
        <f t="shared" si="14"/>
        <v>0</v>
      </c>
      <c r="N64" s="55">
        <f t="shared" si="14"/>
        <v>0</v>
      </c>
    </row>
    <row r="65" spans="1:17" ht="30" customHeight="1" x14ac:dyDescent="0.25">
      <c r="A65" s="42" t="s">
        <v>136</v>
      </c>
      <c r="B65" s="40" t="s">
        <v>100</v>
      </c>
      <c r="C65" s="125" t="s">
        <v>49</v>
      </c>
      <c r="D65" s="67">
        <v>34099</v>
      </c>
      <c r="E65" s="125" t="s">
        <v>137</v>
      </c>
      <c r="F65" s="13">
        <f t="shared" ref="F65" si="15">SUM(G65:N65)</f>
        <v>0</v>
      </c>
      <c r="G65" s="13"/>
      <c r="H65" s="13"/>
      <c r="I65" s="13"/>
      <c r="J65" s="13"/>
      <c r="K65" s="13"/>
      <c r="L65" s="18"/>
      <c r="M65" s="112"/>
      <c r="N65" s="18"/>
    </row>
    <row r="66" spans="1:17" ht="30" customHeight="1" x14ac:dyDescent="0.25">
      <c r="A66" s="42" t="s">
        <v>138</v>
      </c>
      <c r="B66" s="40" t="s">
        <v>100</v>
      </c>
      <c r="C66" s="125" t="s">
        <v>49</v>
      </c>
      <c r="D66" s="67">
        <v>34099</v>
      </c>
      <c r="E66" s="125" t="s">
        <v>86</v>
      </c>
      <c r="F66" s="13">
        <f>SUM(G66:N66)</f>
        <v>0</v>
      </c>
      <c r="G66" s="13"/>
      <c r="H66" s="13"/>
      <c r="I66" s="13"/>
      <c r="J66" s="13"/>
      <c r="K66" s="13"/>
      <c r="L66" s="18"/>
      <c r="M66" s="112"/>
      <c r="N66" s="18"/>
    </row>
    <row r="67" spans="1:17" ht="32.25" customHeight="1" thickBot="1" x14ac:dyDescent="0.3">
      <c r="A67" s="60" t="s">
        <v>88</v>
      </c>
      <c r="B67" s="61" t="s">
        <v>100</v>
      </c>
      <c r="C67" s="126" t="s">
        <v>49</v>
      </c>
      <c r="D67" s="62">
        <v>34099</v>
      </c>
      <c r="E67" s="126" t="s">
        <v>87</v>
      </c>
      <c r="F67" s="15">
        <f>SUM(G67:N67)</f>
        <v>0</v>
      </c>
      <c r="G67" s="15"/>
      <c r="H67" s="15"/>
      <c r="I67" s="15"/>
      <c r="J67" s="15"/>
      <c r="K67" s="15"/>
      <c r="L67" s="19"/>
      <c r="M67" s="120"/>
      <c r="N67" s="19"/>
    </row>
    <row r="68" spans="1:17" ht="31.5" customHeight="1" thickBot="1" x14ac:dyDescent="0.35">
      <c r="A68" s="892" t="s">
        <v>498</v>
      </c>
      <c r="B68" s="893"/>
      <c r="C68" s="893"/>
      <c r="D68" s="893"/>
      <c r="E68" s="894"/>
      <c r="F68" s="147">
        <f>F20+F21+F22+F26+F34+F37+F38+F41+F52</f>
        <v>864000</v>
      </c>
      <c r="G68" s="4"/>
      <c r="H68" s="4"/>
      <c r="I68" s="4"/>
      <c r="J68" s="4"/>
      <c r="K68" s="4"/>
      <c r="L68" s="4"/>
      <c r="M68" s="4"/>
      <c r="N68" s="4"/>
      <c r="O68" s="4"/>
      <c r="P68" s="4"/>
      <c r="Q68" s="4"/>
    </row>
    <row r="69" spans="1:17" ht="8.25" customHeight="1" x14ac:dyDescent="0.2">
      <c r="A69" s="5"/>
      <c r="B69" s="7"/>
      <c r="C69" s="7"/>
      <c r="D69" s="3"/>
      <c r="E69" s="3"/>
      <c r="F69" s="4"/>
      <c r="G69" s="4"/>
      <c r="H69" s="4"/>
      <c r="I69" s="4"/>
      <c r="J69" s="4"/>
      <c r="K69" s="4"/>
      <c r="L69" s="4"/>
      <c r="M69" s="4"/>
      <c r="N69" s="4"/>
    </row>
    <row r="70" spans="1:17" s="12" customFormat="1" ht="15.75" customHeight="1" x14ac:dyDescent="0.25">
      <c r="A70" s="21"/>
      <c r="B70" s="11"/>
      <c r="C70" s="10"/>
      <c r="D70" s="11"/>
      <c r="E70" s="11"/>
      <c r="G70" s="11"/>
    </row>
  </sheetData>
  <mergeCells count="44">
    <mergeCell ref="A68:E68"/>
    <mergeCell ref="M8:M11"/>
    <mergeCell ref="N8:N11"/>
    <mergeCell ref="D52:E52"/>
    <mergeCell ref="A53:C53"/>
    <mergeCell ref="A64:C64"/>
    <mergeCell ref="D64:E64"/>
    <mergeCell ref="A33:C33"/>
    <mergeCell ref="D33:E33"/>
    <mergeCell ref="A42:C42"/>
    <mergeCell ref="D42:E42"/>
    <mergeCell ref="A46:C46"/>
    <mergeCell ref="D46:E46"/>
    <mergeCell ref="A58:C58"/>
    <mergeCell ref="D58:E58"/>
    <mergeCell ref="D53:E53"/>
    <mergeCell ref="A52:C52"/>
    <mergeCell ref="A1:B1"/>
    <mergeCell ref="D1:E1"/>
    <mergeCell ref="A8:A11"/>
    <mergeCell ref="C8:C11"/>
    <mergeCell ref="D8:D11"/>
    <mergeCell ref="E8:E11"/>
    <mergeCell ref="A2:L3"/>
    <mergeCell ref="B8:B11"/>
    <mergeCell ref="G8:G11"/>
    <mergeCell ref="H8:H11"/>
    <mergeCell ref="I8:I11"/>
    <mergeCell ref="J8:J11"/>
    <mergeCell ref="K8:K11"/>
    <mergeCell ref="L8:L11"/>
    <mergeCell ref="F8:F11"/>
    <mergeCell ref="A5:Q6"/>
    <mergeCell ref="A12:E12"/>
    <mergeCell ref="A13:C13"/>
    <mergeCell ref="D13:E13"/>
    <mergeCell ref="A17:C17"/>
    <mergeCell ref="D17:E17"/>
    <mergeCell ref="A19:C19"/>
    <mergeCell ref="D19:E19"/>
    <mergeCell ref="A22:C22"/>
    <mergeCell ref="D22:E22"/>
    <mergeCell ref="A26:C26"/>
    <mergeCell ref="D26:E26"/>
  </mergeCells>
  <pageMargins left="0.9055118110236221" right="0" top="0.27559055118110237" bottom="0.15748031496062992" header="0.31496062992125984" footer="0.15748031496062992"/>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82"/>
  <sheetViews>
    <sheetView zoomScale="60" zoomScaleNormal="60" zoomScaleSheetLayoutView="50" workbookViewId="0">
      <selection activeCell="A7" sqref="A7"/>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7" width="23.5703125" customWidth="1"/>
    <col min="8" max="8" width="24.7109375" customWidth="1"/>
    <col min="9" max="10" width="20.28515625" customWidth="1"/>
    <col min="11" max="14" width="21.42578125" hidden="1" customWidth="1"/>
    <col min="15" max="15" width="21.42578125" customWidth="1"/>
    <col min="16" max="16" width="24.7109375" hidden="1" customWidth="1"/>
    <col min="17" max="17" width="25.85546875" hidden="1" customWidth="1"/>
    <col min="18" max="18" width="27.42578125" customWidth="1"/>
    <col min="19" max="19" width="23.85546875" customWidth="1"/>
    <col min="20" max="20" width="24.7109375" customWidth="1"/>
    <col min="22" max="22" width="20.140625" bestFit="1" customWidth="1"/>
  </cols>
  <sheetData>
    <row r="1" spans="1:20" s="2" customFormat="1" ht="18" x14ac:dyDescent="0.2">
      <c r="A1" s="840"/>
      <c r="B1" s="840"/>
      <c r="C1" s="26"/>
      <c r="D1" s="841"/>
      <c r="E1" s="841"/>
      <c r="F1" s="8"/>
      <c r="G1" s="8"/>
      <c r="H1" s="8"/>
      <c r="I1" s="8"/>
      <c r="J1" s="8"/>
      <c r="K1" s="8"/>
      <c r="L1" s="8"/>
      <c r="M1" s="8"/>
      <c r="N1" s="8"/>
      <c r="O1" s="8"/>
      <c r="P1" s="8"/>
      <c r="Q1" s="8"/>
      <c r="R1" s="8"/>
      <c r="S1" s="8"/>
      <c r="T1" s="8"/>
    </row>
    <row r="2" spans="1:20" s="2" customFormat="1" ht="21" customHeight="1" x14ac:dyDescent="0.2">
      <c r="A2" s="846" t="s">
        <v>637</v>
      </c>
      <c r="B2" s="846"/>
      <c r="C2" s="846"/>
      <c r="D2" s="846"/>
      <c r="E2" s="846"/>
      <c r="F2" s="846"/>
      <c r="G2" s="846"/>
      <c r="H2" s="846"/>
      <c r="I2" s="846"/>
      <c r="J2" s="846"/>
      <c r="K2" s="846"/>
      <c r="L2" s="846"/>
      <c r="M2" s="846"/>
      <c r="N2" s="846"/>
      <c r="O2" s="846"/>
      <c r="P2" s="846"/>
      <c r="Q2" s="846"/>
    </row>
    <row r="3" spans="1:20" s="2" customFormat="1" ht="18" customHeight="1" x14ac:dyDescent="0.2">
      <c r="A3" s="846"/>
      <c r="B3" s="846"/>
      <c r="C3" s="846"/>
      <c r="D3" s="846"/>
      <c r="E3" s="846"/>
      <c r="F3" s="846"/>
      <c r="G3" s="846"/>
      <c r="H3" s="846"/>
      <c r="I3" s="846"/>
      <c r="J3" s="846"/>
      <c r="K3" s="846"/>
      <c r="L3" s="846"/>
      <c r="M3" s="846"/>
      <c r="N3" s="846"/>
      <c r="O3" s="846"/>
      <c r="P3" s="846"/>
      <c r="Q3" s="846"/>
    </row>
    <row r="4" spans="1:20" s="2" customFormat="1" ht="9.75" customHeight="1" x14ac:dyDescent="0.4">
      <c r="A4" s="28"/>
      <c r="B4" s="28"/>
      <c r="C4" s="28"/>
      <c r="D4" s="28"/>
      <c r="E4" s="28"/>
      <c r="F4" s="28"/>
      <c r="G4" s="28"/>
      <c r="H4" s="28"/>
      <c r="I4" s="28"/>
      <c r="J4" s="28"/>
      <c r="K4" s="28"/>
      <c r="L4" s="28"/>
      <c r="M4" s="28"/>
      <c r="N4" s="28"/>
      <c r="O4" s="28"/>
      <c r="P4" s="28"/>
      <c r="Q4" s="28"/>
    </row>
    <row r="5" spans="1:20" s="2" customFormat="1" ht="15.75" customHeight="1" x14ac:dyDescent="0.2">
      <c r="A5" s="847" t="s">
        <v>569</v>
      </c>
      <c r="B5" s="847"/>
      <c r="C5" s="847"/>
      <c r="D5" s="847"/>
      <c r="E5" s="847"/>
      <c r="F5" s="847"/>
      <c r="G5" s="847"/>
      <c r="H5" s="847"/>
      <c r="I5" s="847"/>
      <c r="J5" s="847"/>
      <c r="K5" s="847"/>
      <c r="L5" s="847"/>
      <c r="M5" s="847"/>
      <c r="N5" s="847"/>
      <c r="O5" s="847"/>
      <c r="P5" s="847"/>
      <c r="Q5" s="847"/>
      <c r="R5" s="847"/>
      <c r="S5" s="847"/>
      <c r="T5" s="847"/>
    </row>
    <row r="6" spans="1:20" s="2" customFormat="1" ht="40.5" customHeight="1" x14ac:dyDescent="0.2">
      <c r="A6" s="847"/>
      <c r="B6" s="847"/>
      <c r="C6" s="847"/>
      <c r="D6" s="847"/>
      <c r="E6" s="847"/>
      <c r="F6" s="847"/>
      <c r="G6" s="847"/>
      <c r="H6" s="847"/>
      <c r="I6" s="847"/>
      <c r="J6" s="847"/>
      <c r="K6" s="847"/>
      <c r="L6" s="847"/>
      <c r="M6" s="847"/>
      <c r="N6" s="847"/>
      <c r="O6" s="847"/>
      <c r="P6" s="847"/>
      <c r="Q6" s="847"/>
      <c r="R6" s="847"/>
      <c r="S6" s="847"/>
      <c r="T6" s="847"/>
    </row>
    <row r="7" spans="1:20" ht="29.25" customHeight="1" thickBot="1" x14ac:dyDescent="0.45">
      <c r="A7" s="25" t="s">
        <v>32</v>
      </c>
      <c r="B7" s="6"/>
      <c r="C7" s="22"/>
      <c r="D7" s="23"/>
      <c r="E7" s="23"/>
      <c r="F7" s="24"/>
      <c r="G7" s="23"/>
      <c r="H7" s="23"/>
      <c r="I7" s="23"/>
      <c r="J7" s="23"/>
      <c r="K7" s="23"/>
      <c r="L7" s="23"/>
      <c r="M7" s="23"/>
      <c r="N7" s="23"/>
      <c r="O7" s="23"/>
      <c r="P7" s="23"/>
      <c r="Q7" s="23"/>
      <c r="R7" s="23"/>
      <c r="S7" s="23"/>
      <c r="T7" s="23"/>
    </row>
    <row r="8" spans="1:20" ht="83.25" customHeight="1" x14ac:dyDescent="0.2">
      <c r="A8" s="842" t="s">
        <v>10</v>
      </c>
      <c r="B8" s="884" t="s">
        <v>95</v>
      </c>
      <c r="C8" s="844" t="s">
        <v>89</v>
      </c>
      <c r="D8" s="844" t="s">
        <v>11</v>
      </c>
      <c r="E8" s="844" t="s">
        <v>62</v>
      </c>
      <c r="F8" s="881" t="s">
        <v>34</v>
      </c>
      <c r="G8" s="887" t="s">
        <v>141</v>
      </c>
      <c r="H8" s="844" t="s">
        <v>140</v>
      </c>
      <c r="I8" s="930" t="s">
        <v>681</v>
      </c>
      <c r="J8" s="931"/>
      <c r="K8" s="913" t="s">
        <v>553</v>
      </c>
      <c r="L8" s="913" t="s">
        <v>555</v>
      </c>
      <c r="M8" s="913" t="s">
        <v>550</v>
      </c>
      <c r="N8" s="913" t="s">
        <v>551</v>
      </c>
      <c r="O8" s="848" t="s">
        <v>73</v>
      </c>
      <c r="P8" s="848" t="s">
        <v>74</v>
      </c>
      <c r="Q8" s="848" t="s">
        <v>70</v>
      </c>
      <c r="R8" s="913" t="s">
        <v>657</v>
      </c>
      <c r="S8" s="919" t="s">
        <v>652</v>
      </c>
      <c r="T8" s="922" t="s">
        <v>654</v>
      </c>
    </row>
    <row r="9" spans="1:20" ht="45.75" customHeight="1" x14ac:dyDescent="0.2">
      <c r="A9" s="843"/>
      <c r="B9" s="885"/>
      <c r="C9" s="845"/>
      <c r="D9" s="845"/>
      <c r="E9" s="845"/>
      <c r="F9" s="882"/>
      <c r="G9" s="888"/>
      <c r="H9" s="845"/>
      <c r="I9" s="932"/>
      <c r="J9" s="933"/>
      <c r="K9" s="914"/>
      <c r="L9" s="914"/>
      <c r="M9" s="914"/>
      <c r="N9" s="914"/>
      <c r="O9" s="849"/>
      <c r="P9" s="849"/>
      <c r="Q9" s="849"/>
      <c r="R9" s="914"/>
      <c r="S9" s="920"/>
      <c r="T9" s="923"/>
    </row>
    <row r="10" spans="1:20" ht="123" customHeight="1" x14ac:dyDescent="0.2">
      <c r="A10" s="843"/>
      <c r="B10" s="885"/>
      <c r="C10" s="845"/>
      <c r="D10" s="845"/>
      <c r="E10" s="845"/>
      <c r="F10" s="882"/>
      <c r="G10" s="888"/>
      <c r="H10" s="845"/>
      <c r="I10" s="934"/>
      <c r="J10" s="935"/>
      <c r="K10" s="914"/>
      <c r="L10" s="914"/>
      <c r="M10" s="914"/>
      <c r="N10" s="914"/>
      <c r="O10" s="849"/>
      <c r="P10" s="849"/>
      <c r="Q10" s="849"/>
      <c r="R10" s="914"/>
      <c r="S10" s="920"/>
      <c r="T10" s="923"/>
    </row>
    <row r="11" spans="1:20" ht="111.75" customHeight="1" thickBot="1" x14ac:dyDescent="0.25">
      <c r="A11" s="917"/>
      <c r="B11" s="885"/>
      <c r="C11" s="918"/>
      <c r="D11" s="918"/>
      <c r="E11" s="918"/>
      <c r="F11" s="882"/>
      <c r="G11" s="888"/>
      <c r="H11" s="918"/>
      <c r="I11" s="189" t="s">
        <v>704</v>
      </c>
      <c r="J11" s="189" t="s">
        <v>705</v>
      </c>
      <c r="K11" s="914"/>
      <c r="L11" s="914"/>
      <c r="M11" s="914"/>
      <c r="N11" s="914"/>
      <c r="O11" s="849"/>
      <c r="P11" s="849"/>
      <c r="Q11" s="849"/>
      <c r="R11" s="914"/>
      <c r="S11" s="921"/>
      <c r="T11" s="924"/>
    </row>
    <row r="12" spans="1:20" s="31" customFormat="1" ht="48.75" customHeight="1" thickBot="1" x14ac:dyDescent="0.4">
      <c r="A12" s="925" t="s">
        <v>38</v>
      </c>
      <c r="B12" s="926"/>
      <c r="C12" s="926"/>
      <c r="D12" s="926"/>
      <c r="E12" s="926"/>
      <c r="F12" s="927"/>
      <c r="G12" s="164" t="s">
        <v>139</v>
      </c>
      <c r="H12" s="164" t="s">
        <v>142</v>
      </c>
      <c r="I12" s="164" t="s">
        <v>702</v>
      </c>
      <c r="J12" s="164" t="s">
        <v>703</v>
      </c>
      <c r="K12" s="164" t="s">
        <v>554</v>
      </c>
      <c r="L12" s="164" t="s">
        <v>556</v>
      </c>
      <c r="M12" s="164" t="s">
        <v>549</v>
      </c>
      <c r="N12" s="164" t="s">
        <v>549</v>
      </c>
      <c r="O12" s="164" t="s">
        <v>564</v>
      </c>
      <c r="P12" s="164" t="s">
        <v>563</v>
      </c>
      <c r="Q12" s="164" t="s">
        <v>552</v>
      </c>
      <c r="R12" s="164" t="s">
        <v>656</v>
      </c>
      <c r="S12" s="164" t="s">
        <v>653</v>
      </c>
      <c r="T12" s="179" t="s">
        <v>655</v>
      </c>
    </row>
    <row r="13" spans="1:20" ht="43.5" customHeight="1" x14ac:dyDescent="0.3">
      <c r="A13" s="928" t="s">
        <v>15</v>
      </c>
      <c r="B13" s="929"/>
      <c r="C13" s="929"/>
      <c r="D13" s="929"/>
      <c r="E13" s="929"/>
      <c r="F13" s="165">
        <f>F14+F20+F46+F48+F51+F58</f>
        <v>49356183.799999997</v>
      </c>
      <c r="G13" s="165">
        <f>G14+G20+G46+G48+G51+G58</f>
        <v>8934198</v>
      </c>
      <c r="H13" s="165">
        <f>H14+H20+H46+H48+H51+H58</f>
        <v>36057385</v>
      </c>
      <c r="I13" s="165">
        <f t="shared" ref="I13:N13" si="0">I14+I20+I48+I51+I58+I46</f>
        <v>3093552</v>
      </c>
      <c r="J13" s="165">
        <f t="shared" si="0"/>
        <v>140616</v>
      </c>
      <c r="K13" s="165">
        <f t="shared" si="0"/>
        <v>0</v>
      </c>
      <c r="L13" s="165">
        <f t="shared" si="0"/>
        <v>0</v>
      </c>
      <c r="M13" s="165">
        <f t="shared" si="0"/>
        <v>0</v>
      </c>
      <c r="N13" s="165">
        <f t="shared" si="0"/>
        <v>0</v>
      </c>
      <c r="O13" s="165">
        <f>O14+O20+O46+O48+O51+O58</f>
        <v>1019898</v>
      </c>
      <c r="P13" s="165">
        <f>P14+P20+P46+P48+P51+P58</f>
        <v>0</v>
      </c>
      <c r="Q13" s="165">
        <f>Q14+Q20+Q46+Q48+Q51+Q58</f>
        <v>0</v>
      </c>
      <c r="R13" s="165">
        <f>R14+R20+R48+R51+R58</f>
        <v>15506</v>
      </c>
      <c r="S13" s="165">
        <f>S14+S20+S48+S51+S58</f>
        <v>68896.800000000003</v>
      </c>
      <c r="T13" s="180">
        <f>T14+T20+T48+T51+T58</f>
        <v>26132</v>
      </c>
    </row>
    <row r="14" spans="1:20" ht="42.75" customHeight="1" x14ac:dyDescent="0.3">
      <c r="A14" s="864" t="s">
        <v>94</v>
      </c>
      <c r="B14" s="865"/>
      <c r="C14" s="866"/>
      <c r="D14" s="874">
        <v>210</v>
      </c>
      <c r="E14" s="875"/>
      <c r="F14" s="47">
        <f t="shared" ref="F14:F19" si="1">SUM(G14:T14)</f>
        <v>37919519.270000003</v>
      </c>
      <c r="G14" s="47">
        <f>G15+G16+G17+G18</f>
        <v>369396.27</v>
      </c>
      <c r="H14" s="47">
        <f t="shared" ref="H14:T14" si="2">H15+H16+H17+H18</f>
        <v>34300449</v>
      </c>
      <c r="I14" s="47">
        <f t="shared" si="2"/>
        <v>3093552</v>
      </c>
      <c r="J14" s="47">
        <f t="shared" si="2"/>
        <v>140616</v>
      </c>
      <c r="K14" s="47">
        <f t="shared" si="2"/>
        <v>0</v>
      </c>
      <c r="L14" s="47">
        <f t="shared" ref="L14" si="3">L15+L16+L17+L18</f>
        <v>0</v>
      </c>
      <c r="M14" s="47">
        <f t="shared" si="2"/>
        <v>0</v>
      </c>
      <c r="N14" s="47">
        <f t="shared" si="2"/>
        <v>0</v>
      </c>
      <c r="O14" s="47">
        <f t="shared" si="2"/>
        <v>0</v>
      </c>
      <c r="P14" s="47">
        <f t="shared" si="2"/>
        <v>0</v>
      </c>
      <c r="Q14" s="47">
        <f t="shared" si="2"/>
        <v>0</v>
      </c>
      <c r="R14" s="47">
        <f t="shared" ref="R14" si="4">R15+R16+R17+R18</f>
        <v>15506</v>
      </c>
      <c r="S14" s="47">
        <f t="shared" si="2"/>
        <v>0</v>
      </c>
      <c r="T14" s="56">
        <f t="shared" si="2"/>
        <v>0</v>
      </c>
    </row>
    <row r="15" spans="1:20" ht="36" customHeight="1" x14ac:dyDescent="0.25">
      <c r="A15" s="156" t="s">
        <v>16</v>
      </c>
      <c r="B15" s="40" t="s">
        <v>96</v>
      </c>
      <c r="C15" s="125" t="s">
        <v>47</v>
      </c>
      <c r="D15" s="67">
        <v>21101</v>
      </c>
      <c r="E15" s="125" t="s">
        <v>90</v>
      </c>
      <c r="F15" s="13">
        <f t="shared" si="1"/>
        <v>29056725</v>
      </c>
      <c r="G15" s="13">
        <f>262775</f>
        <v>262775</v>
      </c>
      <c r="H15" s="13">
        <f>26498041-200000</f>
        <v>26298041</v>
      </c>
      <c r="I15" s="13">
        <f>2376000</f>
        <v>2376000</v>
      </c>
      <c r="J15" s="13">
        <f>108000</f>
        <v>108000</v>
      </c>
      <c r="K15" s="13"/>
      <c r="L15" s="13"/>
      <c r="M15" s="13"/>
      <c r="N15" s="13"/>
      <c r="O15" s="13"/>
      <c r="P15" s="13"/>
      <c r="Q15" s="13"/>
      <c r="R15" s="335">
        <f>11909</f>
        <v>11909</v>
      </c>
      <c r="S15" s="13"/>
      <c r="T15" s="18"/>
    </row>
    <row r="16" spans="1:20" ht="35.25" customHeight="1" x14ac:dyDescent="0.25">
      <c r="A16" s="16" t="s">
        <v>17</v>
      </c>
      <c r="B16" s="40" t="s">
        <v>97</v>
      </c>
      <c r="C16" s="125" t="s">
        <v>48</v>
      </c>
      <c r="D16" s="67">
        <v>21300</v>
      </c>
      <c r="E16" s="125" t="s">
        <v>18</v>
      </c>
      <c r="F16" s="13">
        <f t="shared" si="1"/>
        <v>8835531</v>
      </c>
      <c r="G16" s="13">
        <f>79358</f>
        <v>79358</v>
      </c>
      <c r="H16" s="13">
        <f>8002408</f>
        <v>8002408</v>
      </c>
      <c r="I16" s="13">
        <f>717552</f>
        <v>717552</v>
      </c>
      <c r="J16" s="13">
        <f>32616</f>
        <v>32616</v>
      </c>
      <c r="K16" s="13"/>
      <c r="L16" s="13"/>
      <c r="M16" s="13"/>
      <c r="N16" s="13"/>
      <c r="O16" s="13"/>
      <c r="P16" s="13"/>
      <c r="Q16" s="13"/>
      <c r="R16" s="335">
        <f>3597</f>
        <v>3597</v>
      </c>
      <c r="S16" s="13"/>
      <c r="T16" s="18"/>
    </row>
    <row r="17" spans="1:20" ht="36" customHeight="1" x14ac:dyDescent="0.25">
      <c r="A17" s="16" t="s">
        <v>98</v>
      </c>
      <c r="B17" s="40" t="s">
        <v>99</v>
      </c>
      <c r="C17" s="125" t="s">
        <v>48</v>
      </c>
      <c r="D17" s="67">
        <v>21300</v>
      </c>
      <c r="E17" s="125" t="s">
        <v>18</v>
      </c>
      <c r="F17" s="13">
        <f t="shared" si="1"/>
        <v>27263.27</v>
      </c>
      <c r="G17" s="154">
        <f>27263.27</f>
        <v>27263.27</v>
      </c>
      <c r="H17" s="13"/>
      <c r="I17" s="13"/>
      <c r="J17" s="13"/>
      <c r="K17" s="13"/>
      <c r="L17" s="13"/>
      <c r="M17" s="13"/>
      <c r="N17" s="13"/>
      <c r="O17" s="13"/>
      <c r="P17" s="13"/>
      <c r="Q17" s="13"/>
      <c r="R17" s="13"/>
      <c r="S17" s="13"/>
      <c r="T17" s="18"/>
    </row>
    <row r="18" spans="1:20" ht="29.25" customHeight="1" x14ac:dyDescent="0.3">
      <c r="A18" s="862" t="s">
        <v>12</v>
      </c>
      <c r="B18" s="863"/>
      <c r="C18" s="863"/>
      <c r="D18" s="860">
        <v>212</v>
      </c>
      <c r="E18" s="861"/>
      <c r="F18" s="44">
        <f t="shared" si="1"/>
        <v>0</v>
      </c>
      <c r="G18" s="44">
        <f>G19</f>
        <v>0</v>
      </c>
      <c r="H18" s="44">
        <f t="shared" ref="H18:T18" si="5">H19</f>
        <v>0</v>
      </c>
      <c r="I18" s="44">
        <f t="shared" si="5"/>
        <v>0</v>
      </c>
      <c r="J18" s="44">
        <f t="shared" si="5"/>
        <v>0</v>
      </c>
      <c r="K18" s="44">
        <f t="shared" si="5"/>
        <v>0</v>
      </c>
      <c r="L18" s="44">
        <f t="shared" si="5"/>
        <v>0</v>
      </c>
      <c r="M18" s="44">
        <f t="shared" si="5"/>
        <v>0</v>
      </c>
      <c r="N18" s="44">
        <f t="shared" si="5"/>
        <v>0</v>
      </c>
      <c r="O18" s="44">
        <f t="shared" si="5"/>
        <v>0</v>
      </c>
      <c r="P18" s="44">
        <f t="shared" si="5"/>
        <v>0</v>
      </c>
      <c r="Q18" s="44">
        <f t="shared" si="5"/>
        <v>0</v>
      </c>
      <c r="R18" s="44">
        <f t="shared" si="5"/>
        <v>0</v>
      </c>
      <c r="S18" s="44">
        <f t="shared" si="5"/>
        <v>0</v>
      </c>
      <c r="T18" s="50">
        <f t="shared" si="5"/>
        <v>0</v>
      </c>
    </row>
    <row r="19" spans="1:20" ht="34.5" customHeight="1" x14ac:dyDescent="0.3">
      <c r="A19" s="57" t="s">
        <v>112</v>
      </c>
      <c r="B19" s="39" t="s">
        <v>100</v>
      </c>
      <c r="C19" s="38">
        <v>112</v>
      </c>
      <c r="D19" s="41">
        <v>21201</v>
      </c>
      <c r="E19" s="125" t="s">
        <v>59</v>
      </c>
      <c r="F19" s="13">
        <f t="shared" si="1"/>
        <v>0</v>
      </c>
      <c r="G19" s="13">
        <v>0</v>
      </c>
      <c r="H19" s="13"/>
      <c r="I19" s="13"/>
      <c r="J19" s="13"/>
      <c r="K19" s="14"/>
      <c r="L19" s="14"/>
      <c r="M19" s="14"/>
      <c r="N19" s="14"/>
      <c r="O19" s="14"/>
      <c r="P19" s="14"/>
      <c r="Q19" s="14"/>
      <c r="R19" s="14"/>
      <c r="S19" s="14"/>
      <c r="T19" s="17"/>
    </row>
    <row r="20" spans="1:20" ht="27.75" customHeight="1" x14ac:dyDescent="0.3">
      <c r="A20" s="864" t="s">
        <v>92</v>
      </c>
      <c r="B20" s="865"/>
      <c r="C20" s="866"/>
      <c r="D20" s="867">
        <v>220</v>
      </c>
      <c r="E20" s="868"/>
      <c r="F20" s="45">
        <f>F21+F23+F24+F29+F36+F22</f>
        <v>8063515</v>
      </c>
      <c r="G20" s="45">
        <f t="shared" ref="G20:T20" si="6">G21+G23+G24+G29+G36+G22</f>
        <v>7963515</v>
      </c>
      <c r="H20" s="45">
        <f t="shared" si="6"/>
        <v>100000</v>
      </c>
      <c r="I20" s="45">
        <f t="shared" si="6"/>
        <v>0</v>
      </c>
      <c r="J20" s="45">
        <f t="shared" si="6"/>
        <v>0</v>
      </c>
      <c r="K20" s="45">
        <f t="shared" si="6"/>
        <v>0</v>
      </c>
      <c r="L20" s="45">
        <f t="shared" si="6"/>
        <v>0</v>
      </c>
      <c r="M20" s="45">
        <f t="shared" si="6"/>
        <v>0</v>
      </c>
      <c r="N20" s="45">
        <f t="shared" si="6"/>
        <v>0</v>
      </c>
      <c r="O20" s="45">
        <f t="shared" si="6"/>
        <v>0</v>
      </c>
      <c r="P20" s="45">
        <f t="shared" si="6"/>
        <v>0</v>
      </c>
      <c r="Q20" s="45">
        <f t="shared" si="6"/>
        <v>0</v>
      </c>
      <c r="R20" s="45">
        <f t="shared" si="6"/>
        <v>0</v>
      </c>
      <c r="S20" s="45">
        <f t="shared" si="6"/>
        <v>0</v>
      </c>
      <c r="T20" s="45">
        <f t="shared" si="6"/>
        <v>0</v>
      </c>
    </row>
    <row r="21" spans="1:20" ht="29.25" customHeight="1" x14ac:dyDescent="0.25">
      <c r="A21" s="51" t="s">
        <v>0</v>
      </c>
      <c r="B21" s="52" t="s">
        <v>100</v>
      </c>
      <c r="C21" s="53" t="s">
        <v>49</v>
      </c>
      <c r="D21" s="54">
        <v>22100</v>
      </c>
      <c r="E21" s="53" t="s">
        <v>113</v>
      </c>
      <c r="F21" s="48">
        <f>SUM(G21:T21)</f>
        <v>44400</v>
      </c>
      <c r="G21" s="48">
        <f>44400</f>
        <v>44400</v>
      </c>
      <c r="H21" s="48"/>
      <c r="I21" s="48"/>
      <c r="J21" s="48"/>
      <c r="K21" s="48"/>
      <c r="L21" s="48"/>
      <c r="M21" s="48"/>
      <c r="N21" s="48"/>
      <c r="O21" s="48"/>
      <c r="P21" s="48"/>
      <c r="Q21" s="48"/>
      <c r="R21" s="48"/>
      <c r="S21" s="48"/>
      <c r="T21" s="49"/>
    </row>
    <row r="22" spans="1:20" ht="32.25" customHeight="1" x14ac:dyDescent="0.25">
      <c r="A22" s="51" t="s">
        <v>682</v>
      </c>
      <c r="B22" s="167" t="s">
        <v>100</v>
      </c>
      <c r="C22" s="53" t="s">
        <v>50</v>
      </c>
      <c r="D22" s="54">
        <v>22299</v>
      </c>
      <c r="E22" s="53" t="s">
        <v>60</v>
      </c>
      <c r="F22" s="48">
        <f>SUM(G22:T22)</f>
        <v>0</v>
      </c>
      <c r="G22" s="48">
        <v>0</v>
      </c>
      <c r="H22" s="48"/>
      <c r="I22" s="48"/>
      <c r="J22" s="48"/>
      <c r="K22" s="48"/>
      <c r="L22" s="48"/>
      <c r="M22" s="48"/>
      <c r="N22" s="48"/>
      <c r="O22" s="48"/>
      <c r="P22" s="48"/>
      <c r="Q22" s="48"/>
      <c r="R22" s="48"/>
      <c r="S22" s="48"/>
      <c r="T22" s="49"/>
    </row>
    <row r="23" spans="1:20" ht="27" customHeight="1" x14ac:dyDescent="0.25">
      <c r="A23" s="51" t="s">
        <v>93</v>
      </c>
      <c r="B23" s="52" t="s">
        <v>100</v>
      </c>
      <c r="C23" s="53" t="s">
        <v>49</v>
      </c>
      <c r="D23" s="54">
        <v>22299</v>
      </c>
      <c r="E23" s="53" t="s">
        <v>60</v>
      </c>
      <c r="F23" s="48">
        <f>SUM(G23:T23)</f>
        <v>60000</v>
      </c>
      <c r="G23" s="48">
        <f>60000</f>
        <v>60000</v>
      </c>
      <c r="H23" s="48"/>
      <c r="I23" s="48"/>
      <c r="J23" s="48"/>
      <c r="K23" s="48"/>
      <c r="L23" s="48"/>
      <c r="M23" s="48"/>
      <c r="N23" s="48"/>
      <c r="O23" s="48"/>
      <c r="P23" s="48"/>
      <c r="Q23" s="48"/>
      <c r="R23" s="48"/>
      <c r="S23" s="48"/>
      <c r="T23" s="49"/>
    </row>
    <row r="24" spans="1:20" ht="31.5" customHeight="1" x14ac:dyDescent="0.3">
      <c r="A24" s="857" t="s">
        <v>19</v>
      </c>
      <c r="B24" s="858"/>
      <c r="C24" s="859"/>
      <c r="D24" s="900">
        <v>223</v>
      </c>
      <c r="E24" s="901"/>
      <c r="F24" s="48">
        <f>SUM(F25:F28)</f>
        <v>5100029</v>
      </c>
      <c r="G24" s="48">
        <f>SUM(G25:G28)</f>
        <v>5100029</v>
      </c>
      <c r="H24" s="48">
        <f t="shared" ref="H24:R24" si="7">SUM(H25:H28)</f>
        <v>0</v>
      </c>
      <c r="I24" s="48">
        <f t="shared" si="7"/>
        <v>0</v>
      </c>
      <c r="J24" s="48">
        <f t="shared" si="7"/>
        <v>0</v>
      </c>
      <c r="K24" s="48">
        <f t="shared" si="7"/>
        <v>0</v>
      </c>
      <c r="L24" s="48">
        <f t="shared" ref="L24" si="8">SUM(L25:L28)</f>
        <v>0</v>
      </c>
      <c r="M24" s="48">
        <f t="shared" si="7"/>
        <v>0</v>
      </c>
      <c r="N24" s="48">
        <f t="shared" si="7"/>
        <v>0</v>
      </c>
      <c r="O24" s="48">
        <f t="shared" si="7"/>
        <v>0</v>
      </c>
      <c r="P24" s="48">
        <f t="shared" si="7"/>
        <v>0</v>
      </c>
      <c r="Q24" s="48">
        <f t="shared" si="7"/>
        <v>0</v>
      </c>
      <c r="R24" s="48">
        <f t="shared" si="7"/>
        <v>0</v>
      </c>
      <c r="S24" s="48">
        <f t="shared" ref="S24:T24" si="9">SUM(S25:S28)</f>
        <v>0</v>
      </c>
      <c r="T24" s="49">
        <f t="shared" si="9"/>
        <v>0</v>
      </c>
    </row>
    <row r="25" spans="1:20" ht="24.75" customHeight="1" x14ac:dyDescent="0.25">
      <c r="A25" s="37" t="s">
        <v>20</v>
      </c>
      <c r="B25" s="40" t="s">
        <v>102</v>
      </c>
      <c r="C25" s="125" t="s">
        <v>543</v>
      </c>
      <c r="D25" s="67">
        <v>22301</v>
      </c>
      <c r="E25" s="125" t="s">
        <v>69</v>
      </c>
      <c r="F25" s="13">
        <f>SUM(G25:T25)</f>
        <v>4427851</v>
      </c>
      <c r="G25" s="13">
        <f>4427851</f>
        <v>4427851</v>
      </c>
      <c r="H25" s="13"/>
      <c r="I25" s="13"/>
      <c r="J25" s="13"/>
      <c r="K25" s="13"/>
      <c r="L25" s="13"/>
      <c r="M25" s="13"/>
      <c r="N25" s="13"/>
      <c r="O25" s="13"/>
      <c r="P25" s="13"/>
      <c r="Q25" s="13"/>
      <c r="R25" s="13"/>
      <c r="S25" s="13"/>
      <c r="T25" s="18"/>
    </row>
    <row r="26" spans="1:20" ht="33.75" customHeight="1" x14ac:dyDescent="0.25">
      <c r="A26" s="20" t="s">
        <v>5</v>
      </c>
      <c r="B26" s="40" t="s">
        <v>102</v>
      </c>
      <c r="C26" s="125" t="s">
        <v>543</v>
      </c>
      <c r="D26" s="67">
        <v>22302</v>
      </c>
      <c r="E26" s="125" t="s">
        <v>69</v>
      </c>
      <c r="F26" s="13">
        <f>SUM(G26:T26)</f>
        <v>90734</v>
      </c>
      <c r="G26" s="13">
        <f>90734</f>
        <v>90734</v>
      </c>
      <c r="H26" s="13"/>
      <c r="I26" s="13"/>
      <c r="J26" s="13"/>
      <c r="K26" s="13"/>
      <c r="L26" s="13"/>
      <c r="M26" s="13"/>
      <c r="N26" s="13"/>
      <c r="O26" s="13"/>
      <c r="P26" s="13"/>
      <c r="Q26" s="13"/>
      <c r="R26" s="13"/>
      <c r="S26" s="13"/>
      <c r="T26" s="18"/>
    </row>
    <row r="27" spans="1:20" ht="31.5" customHeight="1" x14ac:dyDescent="0.25">
      <c r="A27" s="37" t="s">
        <v>21</v>
      </c>
      <c r="B27" s="40" t="s">
        <v>102</v>
      </c>
      <c r="C27" s="188" t="s">
        <v>543</v>
      </c>
      <c r="D27" s="67">
        <v>22303</v>
      </c>
      <c r="E27" s="188" t="s">
        <v>69</v>
      </c>
      <c r="F27" s="13">
        <f>SUM(G27:T27)</f>
        <v>497736</v>
      </c>
      <c r="G27" s="13">
        <f>497736</f>
        <v>497736</v>
      </c>
      <c r="H27" s="13"/>
      <c r="I27" s="13"/>
      <c r="J27" s="13"/>
      <c r="K27" s="13"/>
      <c r="L27" s="13"/>
      <c r="M27" s="13"/>
      <c r="N27" s="13"/>
      <c r="O27" s="13"/>
      <c r="P27" s="13"/>
      <c r="Q27" s="13"/>
      <c r="R27" s="13"/>
      <c r="S27" s="13"/>
      <c r="T27" s="18"/>
    </row>
    <row r="28" spans="1:20" ht="31.5" customHeight="1" x14ac:dyDescent="0.25">
      <c r="A28" s="37" t="s">
        <v>665</v>
      </c>
      <c r="B28" s="40" t="s">
        <v>102</v>
      </c>
      <c r="C28" s="125" t="s">
        <v>49</v>
      </c>
      <c r="D28" s="67">
        <v>22304</v>
      </c>
      <c r="E28" s="125" t="s">
        <v>69</v>
      </c>
      <c r="F28" s="13">
        <f>SUM(G28:T28)</f>
        <v>83708</v>
      </c>
      <c r="G28" s="13">
        <f>83708</f>
        <v>83708</v>
      </c>
      <c r="H28" s="13"/>
      <c r="I28" s="13"/>
      <c r="J28" s="13"/>
      <c r="K28" s="13"/>
      <c r="L28" s="13"/>
      <c r="M28" s="13"/>
      <c r="N28" s="13"/>
      <c r="O28" s="13"/>
      <c r="P28" s="13"/>
      <c r="Q28" s="13"/>
      <c r="R28" s="13"/>
      <c r="S28" s="13"/>
      <c r="T28" s="18"/>
    </row>
    <row r="29" spans="1:20" ht="36" customHeight="1" x14ac:dyDescent="0.3">
      <c r="A29" s="857" t="s">
        <v>103</v>
      </c>
      <c r="B29" s="858"/>
      <c r="C29" s="859"/>
      <c r="D29" s="860">
        <v>225</v>
      </c>
      <c r="E29" s="861"/>
      <c r="F29" s="48">
        <f>SUM(F30:F35)</f>
        <v>1119598</v>
      </c>
      <c r="G29" s="48">
        <f>SUM(G30:G35)</f>
        <v>1119598</v>
      </c>
      <c r="H29" s="48">
        <f t="shared" ref="H29:T29" si="10">SUM(H30:H32)</f>
        <v>0</v>
      </c>
      <c r="I29" s="48">
        <f t="shared" ref="I29:N29" si="11">SUM(I30:I32)</f>
        <v>0</v>
      </c>
      <c r="J29" s="48">
        <f t="shared" si="11"/>
        <v>0</v>
      </c>
      <c r="K29" s="48">
        <f t="shared" si="11"/>
        <v>0</v>
      </c>
      <c r="L29" s="48">
        <f t="shared" ref="L29" si="12">SUM(L30:L32)</f>
        <v>0</v>
      </c>
      <c r="M29" s="48">
        <f t="shared" si="11"/>
        <v>0</v>
      </c>
      <c r="N29" s="48">
        <f t="shared" si="11"/>
        <v>0</v>
      </c>
      <c r="O29" s="48">
        <f t="shared" si="10"/>
        <v>0</v>
      </c>
      <c r="P29" s="48">
        <f t="shared" si="10"/>
        <v>0</v>
      </c>
      <c r="Q29" s="48">
        <f t="shared" si="10"/>
        <v>0</v>
      </c>
      <c r="R29" s="48">
        <f t="shared" ref="R29" si="13">SUM(R30:R32)</f>
        <v>0</v>
      </c>
      <c r="S29" s="48">
        <f t="shared" si="10"/>
        <v>0</v>
      </c>
      <c r="T29" s="49">
        <f t="shared" si="10"/>
        <v>0</v>
      </c>
    </row>
    <row r="30" spans="1:20" ht="35.25" customHeight="1" x14ac:dyDescent="0.25">
      <c r="A30" s="42" t="s">
        <v>54</v>
      </c>
      <c r="B30" s="40" t="s">
        <v>100</v>
      </c>
      <c r="C30" s="125" t="s">
        <v>49</v>
      </c>
      <c r="D30" s="67">
        <v>22501</v>
      </c>
      <c r="E30" s="125" t="s">
        <v>104</v>
      </c>
      <c r="F30" s="13">
        <f t="shared" ref="F30:F45" si="14">SUM(G30:T30)</f>
        <v>219500</v>
      </c>
      <c r="G30" s="13">
        <f>219500</f>
        <v>219500</v>
      </c>
      <c r="H30" s="13"/>
      <c r="I30" s="13"/>
      <c r="J30" s="13"/>
      <c r="K30" s="13"/>
      <c r="L30" s="13"/>
      <c r="M30" s="13"/>
      <c r="N30" s="13"/>
      <c r="O30" s="13"/>
      <c r="P30" s="13"/>
      <c r="Q30" s="13"/>
      <c r="R30" s="13"/>
      <c r="S30" s="13"/>
      <c r="T30" s="18"/>
    </row>
    <row r="31" spans="1:20" ht="23.25" customHeight="1" x14ac:dyDescent="0.25">
      <c r="A31" s="42" t="s">
        <v>58</v>
      </c>
      <c r="B31" s="40" t="s">
        <v>100</v>
      </c>
      <c r="C31" s="125" t="s">
        <v>49</v>
      </c>
      <c r="D31" s="67">
        <v>22502</v>
      </c>
      <c r="E31" s="125" t="s">
        <v>104</v>
      </c>
      <c r="F31" s="13">
        <f t="shared" si="14"/>
        <v>35000</v>
      </c>
      <c r="G31" s="13">
        <f>35000</f>
        <v>35000</v>
      </c>
      <c r="H31" s="13"/>
      <c r="I31" s="13"/>
      <c r="J31" s="13"/>
      <c r="K31" s="13"/>
      <c r="L31" s="13"/>
      <c r="M31" s="13"/>
      <c r="N31" s="13"/>
      <c r="O31" s="13"/>
      <c r="P31" s="13"/>
      <c r="Q31" s="13"/>
      <c r="R31" s="13"/>
      <c r="S31" s="13"/>
      <c r="T31" s="18"/>
    </row>
    <row r="32" spans="1:20" ht="24.75" customHeight="1" x14ac:dyDescent="0.25">
      <c r="A32" s="43" t="s">
        <v>56</v>
      </c>
      <c r="B32" s="40" t="s">
        <v>100</v>
      </c>
      <c r="C32" s="125" t="s">
        <v>49</v>
      </c>
      <c r="D32" s="67">
        <v>22503</v>
      </c>
      <c r="E32" s="125" t="s">
        <v>104</v>
      </c>
      <c r="F32" s="13">
        <f t="shared" si="14"/>
        <v>235098</v>
      </c>
      <c r="G32" s="13">
        <f>235098</f>
        <v>235098</v>
      </c>
      <c r="H32" s="13"/>
      <c r="I32" s="13"/>
      <c r="J32" s="13"/>
      <c r="K32" s="13"/>
      <c r="L32" s="13"/>
      <c r="M32" s="13"/>
      <c r="N32" s="13"/>
      <c r="O32" s="13"/>
      <c r="P32" s="13"/>
      <c r="Q32" s="13"/>
      <c r="R32" s="13"/>
      <c r="S32" s="13"/>
      <c r="T32" s="18"/>
    </row>
    <row r="33" spans="1:20" ht="32.25" customHeight="1" x14ac:dyDescent="0.25">
      <c r="A33" s="43" t="s">
        <v>57</v>
      </c>
      <c r="B33" s="40" t="s">
        <v>100</v>
      </c>
      <c r="C33" s="125" t="s">
        <v>49</v>
      </c>
      <c r="D33" s="67">
        <v>22504</v>
      </c>
      <c r="E33" s="125" t="s">
        <v>104</v>
      </c>
      <c r="F33" s="13">
        <f t="shared" si="14"/>
        <v>30000</v>
      </c>
      <c r="G33" s="13">
        <f>30000</f>
        <v>30000</v>
      </c>
      <c r="H33" s="13"/>
      <c r="I33" s="13"/>
      <c r="J33" s="13"/>
      <c r="K33" s="13"/>
      <c r="L33" s="13"/>
      <c r="M33" s="13"/>
      <c r="N33" s="13"/>
      <c r="O33" s="13"/>
      <c r="P33" s="13"/>
      <c r="Q33" s="13"/>
      <c r="R33" s="13"/>
      <c r="S33" s="13"/>
      <c r="T33" s="18"/>
    </row>
    <row r="34" spans="1:20" ht="25.5" customHeight="1" x14ac:dyDescent="0.25">
      <c r="A34" s="42" t="s">
        <v>55</v>
      </c>
      <c r="B34" s="40" t="s">
        <v>100</v>
      </c>
      <c r="C34" s="125" t="s">
        <v>49</v>
      </c>
      <c r="D34" s="67">
        <v>22505</v>
      </c>
      <c r="E34" s="125" t="s">
        <v>104</v>
      </c>
      <c r="F34" s="13">
        <f t="shared" si="14"/>
        <v>0</v>
      </c>
      <c r="G34" s="13">
        <f>0</f>
        <v>0</v>
      </c>
      <c r="H34" s="13"/>
      <c r="I34" s="13"/>
      <c r="J34" s="13"/>
      <c r="K34" s="13"/>
      <c r="L34" s="13"/>
      <c r="M34" s="13"/>
      <c r="N34" s="13"/>
      <c r="O34" s="13"/>
      <c r="P34" s="13"/>
      <c r="Q34" s="13"/>
      <c r="R34" s="13"/>
      <c r="S34" s="13"/>
      <c r="T34" s="18"/>
    </row>
    <row r="35" spans="1:20" ht="34.5" customHeight="1" x14ac:dyDescent="0.25">
      <c r="A35" s="42" t="s">
        <v>22</v>
      </c>
      <c r="B35" s="40" t="s">
        <v>100</v>
      </c>
      <c r="C35" s="125" t="s">
        <v>49</v>
      </c>
      <c r="D35" s="67">
        <v>22599</v>
      </c>
      <c r="E35" s="125" t="s">
        <v>104</v>
      </c>
      <c r="F35" s="13">
        <f t="shared" si="14"/>
        <v>600000</v>
      </c>
      <c r="G35" s="13">
        <f>600000</f>
        <v>600000</v>
      </c>
      <c r="H35" s="13"/>
      <c r="I35" s="13"/>
      <c r="J35" s="13"/>
      <c r="K35" s="13"/>
      <c r="L35" s="13"/>
      <c r="M35" s="13"/>
      <c r="N35" s="13"/>
      <c r="O35" s="13"/>
      <c r="P35" s="13"/>
      <c r="Q35" s="13"/>
      <c r="R35" s="13"/>
      <c r="S35" s="13"/>
      <c r="T35" s="18"/>
    </row>
    <row r="36" spans="1:20" ht="28.5" customHeight="1" x14ac:dyDescent="0.3">
      <c r="A36" s="862" t="s">
        <v>109</v>
      </c>
      <c r="B36" s="863"/>
      <c r="C36" s="863"/>
      <c r="D36" s="860">
        <v>226</v>
      </c>
      <c r="E36" s="861"/>
      <c r="F36" s="44">
        <f t="shared" si="14"/>
        <v>1739488</v>
      </c>
      <c r="G36" s="44">
        <f t="shared" ref="G36:T36" si="15">SUM(G37:G45)</f>
        <v>1639488</v>
      </c>
      <c r="H36" s="44">
        <f t="shared" si="15"/>
        <v>100000</v>
      </c>
      <c r="I36" s="44">
        <f t="shared" si="15"/>
        <v>0</v>
      </c>
      <c r="J36" s="44">
        <f t="shared" si="15"/>
        <v>0</v>
      </c>
      <c r="K36" s="44">
        <f t="shared" si="15"/>
        <v>0</v>
      </c>
      <c r="L36" s="44">
        <f t="shared" si="15"/>
        <v>0</v>
      </c>
      <c r="M36" s="44">
        <f t="shared" si="15"/>
        <v>0</v>
      </c>
      <c r="N36" s="44">
        <f t="shared" si="15"/>
        <v>0</v>
      </c>
      <c r="O36" s="44">
        <f t="shared" si="15"/>
        <v>0</v>
      </c>
      <c r="P36" s="44">
        <f t="shared" si="15"/>
        <v>0</v>
      </c>
      <c r="Q36" s="44">
        <f t="shared" si="15"/>
        <v>0</v>
      </c>
      <c r="R36" s="44">
        <f t="shared" si="15"/>
        <v>0</v>
      </c>
      <c r="S36" s="44">
        <f t="shared" si="15"/>
        <v>0</v>
      </c>
      <c r="T36" s="50">
        <f t="shared" si="15"/>
        <v>0</v>
      </c>
    </row>
    <row r="37" spans="1:20" ht="24" customHeight="1" x14ac:dyDescent="0.25">
      <c r="A37" s="43" t="s">
        <v>33</v>
      </c>
      <c r="B37" s="40" t="s">
        <v>100</v>
      </c>
      <c r="C37" s="125" t="s">
        <v>49</v>
      </c>
      <c r="D37" s="67">
        <v>22601</v>
      </c>
      <c r="E37" s="125" t="s">
        <v>110</v>
      </c>
      <c r="F37" s="13">
        <f t="shared" si="14"/>
        <v>0</v>
      </c>
      <c r="G37" s="13">
        <f>0</f>
        <v>0</v>
      </c>
      <c r="H37" s="13"/>
      <c r="I37" s="13"/>
      <c r="J37" s="13"/>
      <c r="K37" s="13"/>
      <c r="L37" s="13"/>
      <c r="M37" s="13"/>
      <c r="N37" s="13"/>
      <c r="O37" s="13"/>
      <c r="P37" s="13"/>
      <c r="Q37" s="13"/>
      <c r="R37" s="13"/>
      <c r="S37" s="13"/>
      <c r="T37" s="18"/>
    </row>
    <row r="38" spans="1:20" ht="31.5" customHeight="1" x14ac:dyDescent="0.25">
      <c r="A38" s="42" t="s">
        <v>111</v>
      </c>
      <c r="B38" s="40" t="s">
        <v>100</v>
      </c>
      <c r="C38" s="125" t="s">
        <v>50</v>
      </c>
      <c r="D38" s="67">
        <v>22602</v>
      </c>
      <c r="E38" s="125" t="s">
        <v>110</v>
      </c>
      <c r="F38" s="13">
        <f t="shared" si="14"/>
        <v>0</v>
      </c>
      <c r="G38" s="154">
        <f>0</f>
        <v>0</v>
      </c>
      <c r="H38" s="13"/>
      <c r="I38" s="13"/>
      <c r="J38" s="13"/>
      <c r="K38" s="13"/>
      <c r="L38" s="13"/>
      <c r="M38" s="13"/>
      <c r="N38" s="13"/>
      <c r="O38" s="13"/>
      <c r="P38" s="13"/>
      <c r="Q38" s="13"/>
      <c r="R38" s="13"/>
      <c r="S38" s="13"/>
      <c r="T38" s="18"/>
    </row>
    <row r="39" spans="1:20" ht="34.5" customHeight="1" x14ac:dyDescent="0.25">
      <c r="A39" s="42" t="s">
        <v>114</v>
      </c>
      <c r="B39" s="40" t="s">
        <v>100</v>
      </c>
      <c r="C39" s="125" t="s">
        <v>48</v>
      </c>
      <c r="D39" s="67">
        <v>22602</v>
      </c>
      <c r="E39" s="125" t="s">
        <v>110</v>
      </c>
      <c r="F39" s="13">
        <f t="shared" si="14"/>
        <v>0</v>
      </c>
      <c r="G39" s="154">
        <f>0</f>
        <v>0</v>
      </c>
      <c r="H39" s="13"/>
      <c r="I39" s="13"/>
      <c r="J39" s="13"/>
      <c r="K39" s="13"/>
      <c r="L39" s="13"/>
      <c r="M39" s="13"/>
      <c r="N39" s="13"/>
      <c r="O39" s="13"/>
      <c r="P39" s="13"/>
      <c r="Q39" s="13"/>
      <c r="R39" s="13"/>
      <c r="S39" s="13"/>
      <c r="T39" s="18"/>
    </row>
    <row r="40" spans="1:20" ht="32.25" customHeight="1" x14ac:dyDescent="0.25">
      <c r="A40" s="182" t="s">
        <v>25</v>
      </c>
      <c r="B40" s="40" t="s">
        <v>100</v>
      </c>
      <c r="C40" s="181" t="s">
        <v>48</v>
      </c>
      <c r="D40" s="67">
        <v>22699</v>
      </c>
      <c r="E40" s="181" t="s">
        <v>110</v>
      </c>
      <c r="F40" s="13">
        <f t="shared" si="14"/>
        <v>0</v>
      </c>
      <c r="G40" s="13">
        <v>0</v>
      </c>
      <c r="H40" s="13"/>
      <c r="I40" s="13"/>
      <c r="J40" s="13"/>
      <c r="K40" s="13"/>
      <c r="L40" s="13"/>
      <c r="M40" s="13"/>
      <c r="N40" s="13"/>
      <c r="O40" s="13"/>
      <c r="P40" s="13"/>
      <c r="Q40" s="13"/>
      <c r="R40" s="13"/>
      <c r="S40" s="13"/>
      <c r="T40" s="36"/>
    </row>
    <row r="41" spans="1:20" ht="24.75" customHeight="1" x14ac:dyDescent="0.25">
      <c r="A41" s="42" t="s">
        <v>23</v>
      </c>
      <c r="B41" s="40" t="s">
        <v>100</v>
      </c>
      <c r="C41" s="125" t="s">
        <v>49</v>
      </c>
      <c r="D41" s="67">
        <v>22603</v>
      </c>
      <c r="E41" s="125" t="s">
        <v>110</v>
      </c>
      <c r="F41" s="13">
        <f t="shared" si="14"/>
        <v>1333770</v>
      </c>
      <c r="G41" s="13">
        <f>1333770</f>
        <v>1333770</v>
      </c>
      <c r="H41" s="13"/>
      <c r="I41" s="13"/>
      <c r="J41" s="13"/>
      <c r="K41" s="13"/>
      <c r="L41" s="13"/>
      <c r="M41" s="13"/>
      <c r="N41" s="13"/>
      <c r="O41" s="13"/>
      <c r="P41" s="13"/>
      <c r="Q41" s="13"/>
      <c r="R41" s="13"/>
      <c r="S41" s="13"/>
      <c r="T41" s="18"/>
    </row>
    <row r="42" spans="1:20" ht="34.5" customHeight="1" x14ac:dyDescent="0.25">
      <c r="A42" s="42" t="s">
        <v>24</v>
      </c>
      <c r="B42" s="40" t="s">
        <v>100</v>
      </c>
      <c r="C42" s="125" t="s">
        <v>49</v>
      </c>
      <c r="D42" s="67">
        <v>22605</v>
      </c>
      <c r="E42" s="125" t="s">
        <v>110</v>
      </c>
      <c r="F42" s="13">
        <f t="shared" si="14"/>
        <v>25000</v>
      </c>
      <c r="G42" s="13">
        <f>25000</f>
        <v>25000</v>
      </c>
      <c r="H42" s="13"/>
      <c r="I42" s="13"/>
      <c r="J42" s="13"/>
      <c r="K42" s="13"/>
      <c r="L42" s="13"/>
      <c r="M42" s="13"/>
      <c r="N42" s="13"/>
      <c r="O42" s="13"/>
      <c r="P42" s="13"/>
      <c r="Q42" s="13"/>
      <c r="R42" s="13"/>
      <c r="S42" s="13"/>
      <c r="T42" s="18"/>
    </row>
    <row r="43" spans="1:20" ht="51" customHeight="1" x14ac:dyDescent="0.25">
      <c r="A43" s="42" t="s">
        <v>116</v>
      </c>
      <c r="B43" s="40" t="s">
        <v>100</v>
      </c>
      <c r="C43" s="125" t="s">
        <v>50</v>
      </c>
      <c r="D43" s="67">
        <v>22606</v>
      </c>
      <c r="E43" s="125" t="s">
        <v>110</v>
      </c>
      <c r="F43" s="13">
        <f t="shared" si="14"/>
        <v>0</v>
      </c>
      <c r="G43" s="154">
        <v>0</v>
      </c>
      <c r="H43" s="13"/>
      <c r="I43" s="13"/>
      <c r="J43" s="13"/>
      <c r="K43" s="13"/>
      <c r="L43" s="13"/>
      <c r="M43" s="13"/>
      <c r="N43" s="13"/>
      <c r="O43" s="13"/>
      <c r="P43" s="13"/>
      <c r="Q43" s="13"/>
      <c r="R43" s="13"/>
      <c r="S43" s="13"/>
      <c r="T43" s="18"/>
    </row>
    <row r="44" spans="1:20" ht="49.5" customHeight="1" x14ac:dyDescent="0.25">
      <c r="A44" s="42" t="s">
        <v>117</v>
      </c>
      <c r="B44" s="40" t="s">
        <v>100</v>
      </c>
      <c r="C44" s="125" t="s">
        <v>50</v>
      </c>
      <c r="D44" s="67">
        <v>22699</v>
      </c>
      <c r="E44" s="125" t="s">
        <v>110</v>
      </c>
      <c r="F44" s="13">
        <f t="shared" si="14"/>
        <v>30000</v>
      </c>
      <c r="G44" s="154">
        <f>30000</f>
        <v>30000</v>
      </c>
      <c r="H44" s="13"/>
      <c r="I44" s="13"/>
      <c r="J44" s="13"/>
      <c r="K44" s="13"/>
      <c r="L44" s="13"/>
      <c r="M44" s="13"/>
      <c r="N44" s="13"/>
      <c r="O44" s="13"/>
      <c r="P44" s="13"/>
      <c r="Q44" s="13"/>
      <c r="R44" s="13"/>
      <c r="S44" s="13"/>
      <c r="T44" s="18"/>
    </row>
    <row r="45" spans="1:20" ht="32.25" customHeight="1" x14ac:dyDescent="0.25">
      <c r="A45" s="182" t="s">
        <v>25</v>
      </c>
      <c r="B45" s="40" t="s">
        <v>100</v>
      </c>
      <c r="C45" s="181" t="s">
        <v>49</v>
      </c>
      <c r="D45" s="67">
        <v>22699</v>
      </c>
      <c r="E45" s="181" t="s">
        <v>110</v>
      </c>
      <c r="F45" s="13">
        <f t="shared" si="14"/>
        <v>350718</v>
      </c>
      <c r="G45" s="13">
        <f>250718</f>
        <v>250718</v>
      </c>
      <c r="H45" s="13">
        <f>100000</f>
        <v>100000</v>
      </c>
      <c r="I45" s="13"/>
      <c r="J45" s="13"/>
      <c r="K45" s="13"/>
      <c r="L45" s="13"/>
      <c r="M45" s="13"/>
      <c r="N45" s="13"/>
      <c r="O45" s="13"/>
      <c r="P45" s="13"/>
      <c r="Q45" s="13"/>
      <c r="R45" s="13"/>
      <c r="S45" s="13"/>
      <c r="T45" s="36"/>
    </row>
    <row r="46" spans="1:20" ht="28.5" customHeight="1" x14ac:dyDescent="0.3">
      <c r="A46" s="872" t="s">
        <v>499</v>
      </c>
      <c r="B46" s="873"/>
      <c r="C46" s="873"/>
      <c r="D46" s="874">
        <v>26300</v>
      </c>
      <c r="E46" s="875"/>
      <c r="F46" s="45">
        <f t="shared" ref="F46:H46" si="16">SUM(F47)</f>
        <v>0</v>
      </c>
      <c r="G46" s="45">
        <f t="shared" si="16"/>
        <v>0</v>
      </c>
      <c r="H46" s="45">
        <f t="shared" si="16"/>
        <v>0</v>
      </c>
      <c r="I46" s="45">
        <f t="shared" ref="I46:N46" si="17">I47</f>
        <v>0</v>
      </c>
      <c r="J46" s="45">
        <f t="shared" si="17"/>
        <v>0</v>
      </c>
      <c r="K46" s="45">
        <f t="shared" si="17"/>
        <v>0</v>
      </c>
      <c r="L46" s="45">
        <f t="shared" si="17"/>
        <v>0</v>
      </c>
      <c r="M46" s="45">
        <f t="shared" si="17"/>
        <v>0</v>
      </c>
      <c r="N46" s="45">
        <f t="shared" si="17"/>
        <v>0</v>
      </c>
      <c r="O46" s="45">
        <f t="shared" ref="O46:Q46" si="18">SUM(O47)</f>
        <v>0</v>
      </c>
      <c r="P46" s="45">
        <f t="shared" si="18"/>
        <v>0</v>
      </c>
      <c r="Q46" s="45">
        <f t="shared" si="18"/>
        <v>0</v>
      </c>
      <c r="R46" s="45">
        <f t="shared" ref="R46" si="19">SUM(R47:R49)</f>
        <v>0</v>
      </c>
      <c r="S46" s="45">
        <f t="shared" ref="S46:T46" si="20">SUM(S47:S49)</f>
        <v>0</v>
      </c>
      <c r="T46" s="46">
        <f t="shared" si="20"/>
        <v>0</v>
      </c>
    </row>
    <row r="47" spans="1:20" ht="21.75" customHeight="1" x14ac:dyDescent="0.25">
      <c r="A47" s="42" t="s">
        <v>500</v>
      </c>
      <c r="B47" s="40" t="s">
        <v>100</v>
      </c>
      <c r="C47" s="125" t="s">
        <v>281</v>
      </c>
      <c r="D47" s="67">
        <v>26300</v>
      </c>
      <c r="E47" s="125" t="s">
        <v>501</v>
      </c>
      <c r="F47" s="13">
        <f>SUM(G47:T47)</f>
        <v>0</v>
      </c>
      <c r="G47" s="13">
        <v>0</v>
      </c>
      <c r="H47" s="13"/>
      <c r="I47" s="13"/>
      <c r="J47" s="13"/>
      <c r="K47" s="13"/>
      <c r="L47" s="13"/>
      <c r="M47" s="13"/>
      <c r="N47" s="13"/>
      <c r="O47" s="13"/>
      <c r="P47" s="13"/>
      <c r="Q47" s="13"/>
      <c r="R47" s="13"/>
      <c r="S47" s="13"/>
      <c r="T47" s="18"/>
    </row>
    <row r="48" spans="1:20" ht="28.5" customHeight="1" x14ac:dyDescent="0.3">
      <c r="A48" s="872" t="s">
        <v>121</v>
      </c>
      <c r="B48" s="873"/>
      <c r="C48" s="873"/>
      <c r="D48" s="874">
        <v>266</v>
      </c>
      <c r="E48" s="875"/>
      <c r="F48" s="45">
        <f>SUM(G48:T48)</f>
        <v>290275.73</v>
      </c>
      <c r="G48" s="45">
        <f t="shared" ref="G48:T48" si="21">SUM(G49:G50)</f>
        <v>90275.73</v>
      </c>
      <c r="H48" s="45">
        <f t="shared" si="21"/>
        <v>200000</v>
      </c>
      <c r="I48" s="45">
        <f t="shared" si="21"/>
        <v>0</v>
      </c>
      <c r="J48" s="45">
        <f t="shared" si="21"/>
        <v>0</v>
      </c>
      <c r="K48" s="45">
        <f t="shared" si="21"/>
        <v>0</v>
      </c>
      <c r="L48" s="45">
        <f t="shared" si="21"/>
        <v>0</v>
      </c>
      <c r="M48" s="45">
        <f t="shared" si="21"/>
        <v>0</v>
      </c>
      <c r="N48" s="45">
        <f t="shared" si="21"/>
        <v>0</v>
      </c>
      <c r="O48" s="45">
        <f t="shared" si="21"/>
        <v>0</v>
      </c>
      <c r="P48" s="45">
        <f t="shared" si="21"/>
        <v>0</v>
      </c>
      <c r="Q48" s="45">
        <f t="shared" si="21"/>
        <v>0</v>
      </c>
      <c r="R48" s="45">
        <f t="shared" si="21"/>
        <v>0</v>
      </c>
      <c r="S48" s="45">
        <f t="shared" si="21"/>
        <v>0</v>
      </c>
      <c r="T48" s="46">
        <f t="shared" si="21"/>
        <v>0</v>
      </c>
    </row>
    <row r="49" spans="1:20" ht="39.75" customHeight="1" x14ac:dyDescent="0.25">
      <c r="A49" s="42" t="s">
        <v>118</v>
      </c>
      <c r="B49" s="40" t="s">
        <v>96</v>
      </c>
      <c r="C49" s="125" t="s">
        <v>47</v>
      </c>
      <c r="D49" s="67">
        <v>26600</v>
      </c>
      <c r="E49" s="125" t="s">
        <v>91</v>
      </c>
      <c r="F49" s="13">
        <f>SUM(G49:T49)</f>
        <v>200000</v>
      </c>
      <c r="G49" s="154">
        <v>0</v>
      </c>
      <c r="H49" s="336">
        <f>200000</f>
        <v>200000</v>
      </c>
      <c r="I49" s="13"/>
      <c r="J49" s="13"/>
      <c r="K49" s="13"/>
      <c r="L49" s="13"/>
      <c r="M49" s="13"/>
      <c r="N49" s="13"/>
      <c r="O49" s="13"/>
      <c r="P49" s="13"/>
      <c r="Q49" s="13"/>
      <c r="R49" s="13"/>
      <c r="S49" s="13"/>
      <c r="T49" s="18"/>
    </row>
    <row r="50" spans="1:20" ht="52.5" customHeight="1" x14ac:dyDescent="0.25">
      <c r="A50" s="42" t="s">
        <v>120</v>
      </c>
      <c r="B50" s="40" t="s">
        <v>99</v>
      </c>
      <c r="C50" s="125" t="s">
        <v>50</v>
      </c>
      <c r="D50" s="67">
        <v>26602</v>
      </c>
      <c r="E50" s="125" t="s">
        <v>91</v>
      </c>
      <c r="F50" s="13">
        <f>SUM(G50:T50)</f>
        <v>90275.73</v>
      </c>
      <c r="G50" s="154">
        <f>90275.73</f>
        <v>90275.73</v>
      </c>
      <c r="H50" s="13"/>
      <c r="I50" s="13"/>
      <c r="J50" s="13"/>
      <c r="K50" s="13"/>
      <c r="L50" s="13"/>
      <c r="M50" s="13"/>
      <c r="N50" s="13"/>
      <c r="O50" s="13"/>
      <c r="P50" s="13"/>
      <c r="Q50" s="13"/>
      <c r="R50" s="13"/>
      <c r="S50" s="13"/>
      <c r="T50" s="18"/>
    </row>
    <row r="51" spans="1:20" s="1" customFormat="1" ht="26.25" customHeight="1" x14ac:dyDescent="0.3">
      <c r="A51" s="864" t="s">
        <v>31</v>
      </c>
      <c r="B51" s="865"/>
      <c r="C51" s="865"/>
      <c r="D51" s="874">
        <v>290</v>
      </c>
      <c r="E51" s="875"/>
      <c r="F51" s="45">
        <f>SUM(F52:F57)</f>
        <v>182671</v>
      </c>
      <c r="G51" s="45">
        <f>SUM(G52:G57)</f>
        <v>182671</v>
      </c>
      <c r="H51" s="45">
        <f t="shared" ref="H51:T51" si="22">SUM(H52:H57)</f>
        <v>0</v>
      </c>
      <c r="I51" s="45">
        <f t="shared" si="22"/>
        <v>0</v>
      </c>
      <c r="J51" s="45">
        <f t="shared" si="22"/>
        <v>0</v>
      </c>
      <c r="K51" s="45">
        <f t="shared" si="22"/>
        <v>0</v>
      </c>
      <c r="L51" s="45">
        <f t="shared" ref="L51" si="23">SUM(L52:L57)</f>
        <v>0</v>
      </c>
      <c r="M51" s="45">
        <f t="shared" si="22"/>
        <v>0</v>
      </c>
      <c r="N51" s="45">
        <f t="shared" si="22"/>
        <v>0</v>
      </c>
      <c r="O51" s="45">
        <f t="shared" si="22"/>
        <v>0</v>
      </c>
      <c r="P51" s="45">
        <f t="shared" si="22"/>
        <v>0</v>
      </c>
      <c r="Q51" s="45">
        <f t="shared" si="22"/>
        <v>0</v>
      </c>
      <c r="R51" s="45">
        <f t="shared" ref="R51" si="24">SUM(R52:R57)</f>
        <v>0</v>
      </c>
      <c r="S51" s="45">
        <f t="shared" si="22"/>
        <v>0</v>
      </c>
      <c r="T51" s="46">
        <f t="shared" si="22"/>
        <v>0</v>
      </c>
    </row>
    <row r="52" spans="1:20" ht="30.75" customHeight="1" x14ac:dyDescent="0.25">
      <c r="A52" s="27" t="s">
        <v>513</v>
      </c>
      <c r="B52" s="40" t="s">
        <v>100</v>
      </c>
      <c r="C52" s="915" t="s">
        <v>51</v>
      </c>
      <c r="D52" s="67">
        <v>29101</v>
      </c>
      <c r="E52" s="915" t="s">
        <v>123</v>
      </c>
      <c r="F52" s="13">
        <f>SUM(G52:Q52)</f>
        <v>152000</v>
      </c>
      <c r="G52" s="154">
        <f>152000</f>
        <v>152000</v>
      </c>
      <c r="H52" s="13"/>
      <c r="I52" s="13"/>
      <c r="J52" s="13"/>
      <c r="K52" s="13"/>
      <c r="L52" s="13"/>
      <c r="M52" s="13"/>
      <c r="N52" s="13"/>
      <c r="O52" s="13"/>
      <c r="P52" s="13"/>
      <c r="Q52" s="13"/>
      <c r="R52" s="30"/>
      <c r="S52" s="30"/>
      <c r="T52" s="29"/>
    </row>
    <row r="53" spans="1:20" ht="30.75" customHeight="1" x14ac:dyDescent="0.25">
      <c r="A53" s="27" t="s">
        <v>514</v>
      </c>
      <c r="B53" s="40" t="s">
        <v>100</v>
      </c>
      <c r="C53" s="916"/>
      <c r="D53" s="67">
        <v>29102</v>
      </c>
      <c r="E53" s="916"/>
      <c r="F53" s="13">
        <f>SUM(G53:T53)</f>
        <v>25671</v>
      </c>
      <c r="G53" s="154">
        <f>25671</f>
        <v>25671</v>
      </c>
      <c r="H53" s="13"/>
      <c r="I53" s="13"/>
      <c r="J53" s="13"/>
      <c r="K53" s="13"/>
      <c r="L53" s="13"/>
      <c r="M53" s="13"/>
      <c r="N53" s="13"/>
      <c r="O53" s="13"/>
      <c r="P53" s="13"/>
      <c r="Q53" s="13"/>
      <c r="R53" s="13"/>
      <c r="S53" s="13"/>
      <c r="T53" s="18"/>
    </row>
    <row r="54" spans="1:20" ht="30.75" customHeight="1" x14ac:dyDescent="0.25">
      <c r="A54" s="27" t="s">
        <v>542</v>
      </c>
      <c r="B54" s="40" t="s">
        <v>100</v>
      </c>
      <c r="C54" s="125" t="s">
        <v>52</v>
      </c>
      <c r="D54" s="67">
        <v>29104</v>
      </c>
      <c r="E54" s="125" t="s">
        <v>123</v>
      </c>
      <c r="F54" s="13">
        <f>SUM(G54:T54)</f>
        <v>0</v>
      </c>
      <c r="G54" s="13">
        <v>0</v>
      </c>
      <c r="H54" s="13"/>
      <c r="I54" s="13"/>
      <c r="J54" s="13"/>
      <c r="K54" s="13"/>
      <c r="L54" s="13"/>
      <c r="M54" s="13"/>
      <c r="N54" s="13"/>
      <c r="O54" s="13"/>
      <c r="P54" s="13"/>
      <c r="Q54" s="13"/>
      <c r="R54" s="13"/>
      <c r="S54" s="13"/>
      <c r="T54" s="18"/>
    </row>
    <row r="55" spans="1:20" ht="31.5" customHeight="1" x14ac:dyDescent="0.25">
      <c r="A55" s="58" t="s">
        <v>125</v>
      </c>
      <c r="B55" s="40" t="s">
        <v>100</v>
      </c>
      <c r="C55" s="125" t="s">
        <v>53</v>
      </c>
      <c r="D55" s="67">
        <v>29001</v>
      </c>
      <c r="E55" s="125" t="s">
        <v>127</v>
      </c>
      <c r="F55" s="13">
        <f>SUM(G55:T55)</f>
        <v>0</v>
      </c>
      <c r="G55" s="13">
        <v>0</v>
      </c>
      <c r="H55" s="13"/>
      <c r="I55" s="13"/>
      <c r="J55" s="13"/>
      <c r="K55" s="13"/>
      <c r="L55" s="13"/>
      <c r="M55" s="13"/>
      <c r="N55" s="13"/>
      <c r="O55" s="13"/>
      <c r="P55" s="13"/>
      <c r="Q55" s="13"/>
      <c r="R55" s="13"/>
      <c r="S55" s="13"/>
      <c r="T55" s="18"/>
    </row>
    <row r="56" spans="1:20" ht="32.25" customHeight="1" x14ac:dyDescent="0.25">
      <c r="A56" s="58" t="s">
        <v>126</v>
      </c>
      <c r="B56" s="40" t="s">
        <v>100</v>
      </c>
      <c r="C56" s="125" t="s">
        <v>53</v>
      </c>
      <c r="D56" s="67">
        <v>29001</v>
      </c>
      <c r="E56" s="125" t="s">
        <v>128</v>
      </c>
      <c r="F56" s="13">
        <f>SUM(G56:T56)</f>
        <v>5000</v>
      </c>
      <c r="G56" s="316">
        <f>5000</f>
        <v>5000</v>
      </c>
      <c r="H56" s="13"/>
      <c r="I56" s="13"/>
      <c r="J56" s="13"/>
      <c r="K56" s="13"/>
      <c r="L56" s="13"/>
      <c r="M56" s="13"/>
      <c r="N56" s="13"/>
      <c r="O56" s="13"/>
      <c r="P56" s="13"/>
      <c r="Q56" s="13"/>
      <c r="R56" s="13"/>
      <c r="S56" s="13"/>
      <c r="T56" s="18"/>
    </row>
    <row r="57" spans="1:20" ht="34.5" customHeight="1" x14ac:dyDescent="0.25">
      <c r="A57" s="59" t="s">
        <v>130</v>
      </c>
      <c r="B57" s="40" t="s">
        <v>100</v>
      </c>
      <c r="C57" s="125" t="s">
        <v>53</v>
      </c>
      <c r="D57" s="67">
        <v>29001</v>
      </c>
      <c r="E57" s="125" t="s">
        <v>129</v>
      </c>
      <c r="F57" s="13">
        <f>SUM(G57:T57)</f>
        <v>0</v>
      </c>
      <c r="G57" s="13">
        <v>0</v>
      </c>
      <c r="H57" s="13"/>
      <c r="I57" s="13"/>
      <c r="J57" s="13"/>
      <c r="K57" s="13"/>
      <c r="L57" s="13"/>
      <c r="M57" s="13"/>
      <c r="N57" s="13"/>
      <c r="O57" s="13"/>
      <c r="P57" s="13"/>
      <c r="Q57" s="13"/>
      <c r="R57" s="13"/>
      <c r="S57" s="13"/>
      <c r="T57" s="18"/>
    </row>
    <row r="58" spans="1:20" ht="36" customHeight="1" x14ac:dyDescent="0.3">
      <c r="A58" s="872" t="s">
        <v>131</v>
      </c>
      <c r="B58" s="873"/>
      <c r="C58" s="873"/>
      <c r="D58" s="902">
        <v>300</v>
      </c>
      <c r="E58" s="903"/>
      <c r="F58" s="45">
        <f>F59+F64</f>
        <v>2900202.8</v>
      </c>
      <c r="G58" s="45">
        <f>G59+G64</f>
        <v>328340</v>
      </c>
      <c r="H58" s="45">
        <f t="shared" ref="H58:T58" si="25">H59+H64</f>
        <v>1456936</v>
      </c>
      <c r="I58" s="45">
        <f t="shared" si="25"/>
        <v>0</v>
      </c>
      <c r="J58" s="45">
        <f t="shared" si="25"/>
        <v>0</v>
      </c>
      <c r="K58" s="45">
        <f t="shared" si="25"/>
        <v>0</v>
      </c>
      <c r="L58" s="45">
        <f t="shared" ref="L58" si="26">L59+L64</f>
        <v>0</v>
      </c>
      <c r="M58" s="45">
        <f t="shared" si="25"/>
        <v>0</v>
      </c>
      <c r="N58" s="45">
        <f t="shared" si="25"/>
        <v>0</v>
      </c>
      <c r="O58" s="45">
        <f t="shared" si="25"/>
        <v>1019898</v>
      </c>
      <c r="P58" s="45">
        <f t="shared" si="25"/>
        <v>0</v>
      </c>
      <c r="Q58" s="45">
        <f t="shared" si="25"/>
        <v>0</v>
      </c>
      <c r="R58" s="45">
        <f t="shared" ref="R58" si="27">R59+R64</f>
        <v>0</v>
      </c>
      <c r="S58" s="45">
        <f t="shared" si="25"/>
        <v>68896.800000000003</v>
      </c>
      <c r="T58" s="46">
        <f t="shared" si="25"/>
        <v>26132</v>
      </c>
    </row>
    <row r="59" spans="1:20" ht="30.75" customHeight="1" x14ac:dyDescent="0.3">
      <c r="A59" s="857" t="s">
        <v>13</v>
      </c>
      <c r="B59" s="858"/>
      <c r="C59" s="859"/>
      <c r="D59" s="860">
        <v>310</v>
      </c>
      <c r="E59" s="861"/>
      <c r="F59" s="44">
        <f>SUM(G59:T59)</f>
        <v>1309540</v>
      </c>
      <c r="G59" s="44">
        <f>SUM(G60:G63)</f>
        <v>112340</v>
      </c>
      <c r="H59" s="44">
        <f t="shared" ref="H59:T59" si="28">SUM(H60:H63)</f>
        <v>1197200</v>
      </c>
      <c r="I59" s="44">
        <f t="shared" si="28"/>
        <v>0</v>
      </c>
      <c r="J59" s="44">
        <f t="shared" si="28"/>
        <v>0</v>
      </c>
      <c r="K59" s="44">
        <f>SUM(K60:K63)</f>
        <v>0</v>
      </c>
      <c r="L59" s="44">
        <f>SUM(L60:L63)</f>
        <v>0</v>
      </c>
      <c r="M59" s="44">
        <f>SUM(M60:M63)</f>
        <v>0</v>
      </c>
      <c r="N59" s="44">
        <f>SUM(N60:N63)</f>
        <v>0</v>
      </c>
      <c r="O59" s="44">
        <f>SUM(O60:O63)</f>
        <v>0</v>
      </c>
      <c r="P59" s="44">
        <f t="shared" si="28"/>
        <v>0</v>
      </c>
      <c r="Q59" s="44">
        <f t="shared" si="28"/>
        <v>0</v>
      </c>
      <c r="R59" s="44">
        <f t="shared" ref="R59" si="29">SUM(R60:R63)</f>
        <v>0</v>
      </c>
      <c r="S59" s="44">
        <f t="shared" si="28"/>
        <v>0</v>
      </c>
      <c r="T59" s="50">
        <f t="shared" si="28"/>
        <v>0</v>
      </c>
    </row>
    <row r="60" spans="1:20" ht="27.75" customHeight="1" x14ac:dyDescent="0.25">
      <c r="A60" s="16" t="s">
        <v>132</v>
      </c>
      <c r="B60" s="40" t="s">
        <v>133</v>
      </c>
      <c r="C60" s="125" t="s">
        <v>49</v>
      </c>
      <c r="D60" s="67">
        <v>31003</v>
      </c>
      <c r="E60" s="125" t="s">
        <v>61</v>
      </c>
      <c r="F60" s="13">
        <f>SUM(G60:T60)</f>
        <v>632000</v>
      </c>
      <c r="G60" s="13">
        <f>0</f>
        <v>0</v>
      </c>
      <c r="H60" s="13">
        <f>4000*158</f>
        <v>632000</v>
      </c>
      <c r="I60" s="13"/>
      <c r="J60" s="13"/>
      <c r="K60" s="13"/>
      <c r="L60" s="13"/>
      <c r="M60" s="13"/>
      <c r="N60" s="13"/>
      <c r="O60" s="13"/>
      <c r="P60" s="13"/>
      <c r="Q60" s="13"/>
      <c r="R60" s="13"/>
      <c r="S60" s="13"/>
      <c r="T60" s="18"/>
    </row>
    <row r="61" spans="1:20" ht="25.5" customHeight="1" x14ac:dyDescent="0.25">
      <c r="A61" s="16" t="s">
        <v>6</v>
      </c>
      <c r="B61" s="40" t="s">
        <v>133</v>
      </c>
      <c r="C61" s="125" t="s">
        <v>49</v>
      </c>
      <c r="D61" s="67">
        <v>31004</v>
      </c>
      <c r="E61" s="125" t="s">
        <v>61</v>
      </c>
      <c r="F61" s="13">
        <f>SUM(G61:T61)</f>
        <v>0</v>
      </c>
      <c r="G61" s="13">
        <f>0</f>
        <v>0</v>
      </c>
      <c r="H61" s="13">
        <f>60000-60000</f>
        <v>0</v>
      </c>
      <c r="I61" s="13"/>
      <c r="J61" s="13"/>
      <c r="K61" s="13"/>
      <c r="L61" s="13"/>
      <c r="M61" s="13"/>
      <c r="N61" s="13"/>
      <c r="O61" s="13"/>
      <c r="P61" s="13"/>
      <c r="Q61" s="13"/>
      <c r="R61" s="13"/>
      <c r="S61" s="13"/>
      <c r="T61" s="18"/>
    </row>
    <row r="62" spans="1:20" ht="28.5" customHeight="1" x14ac:dyDescent="0.25">
      <c r="A62" s="16" t="s">
        <v>7</v>
      </c>
      <c r="B62" s="40" t="s">
        <v>133</v>
      </c>
      <c r="C62" s="125" t="s">
        <v>49</v>
      </c>
      <c r="D62" s="67">
        <v>31005</v>
      </c>
      <c r="E62" s="125" t="s">
        <v>61</v>
      </c>
      <c r="F62" s="13">
        <f>SUM(G62:T62)</f>
        <v>360000</v>
      </c>
      <c r="G62" s="13">
        <f>60000</f>
        <v>60000</v>
      </c>
      <c r="H62" s="13">
        <f>300000</f>
        <v>300000</v>
      </c>
      <c r="I62" s="13"/>
      <c r="J62" s="13"/>
      <c r="K62" s="13"/>
      <c r="L62" s="13"/>
      <c r="M62" s="13"/>
      <c r="N62" s="13"/>
      <c r="O62" s="13"/>
      <c r="P62" s="13"/>
      <c r="Q62" s="13"/>
      <c r="R62" s="13"/>
      <c r="S62" s="13"/>
      <c r="T62" s="18"/>
    </row>
    <row r="63" spans="1:20" ht="36.75" customHeight="1" x14ac:dyDescent="0.25">
      <c r="A63" s="16" t="s">
        <v>8</v>
      </c>
      <c r="B63" s="40" t="s">
        <v>133</v>
      </c>
      <c r="C63" s="125" t="s">
        <v>49</v>
      </c>
      <c r="D63" s="67">
        <v>31099</v>
      </c>
      <c r="E63" s="125" t="s">
        <v>61</v>
      </c>
      <c r="F63" s="13">
        <f>SUM(G63:T63)</f>
        <v>317540</v>
      </c>
      <c r="G63" s="13">
        <f>52340</f>
        <v>52340</v>
      </c>
      <c r="H63" s="13">
        <f>265200</f>
        <v>265200</v>
      </c>
      <c r="I63" s="13"/>
      <c r="J63" s="13"/>
      <c r="K63" s="13"/>
      <c r="L63" s="13"/>
      <c r="M63" s="13"/>
      <c r="N63" s="13"/>
      <c r="O63" s="13"/>
      <c r="P63" s="13"/>
      <c r="Q63" s="13"/>
      <c r="R63" s="13"/>
      <c r="S63" s="13"/>
      <c r="T63" s="18"/>
    </row>
    <row r="64" spans="1:20" ht="39.75" customHeight="1" x14ac:dyDescent="0.3">
      <c r="A64" s="857" t="s">
        <v>14</v>
      </c>
      <c r="B64" s="858"/>
      <c r="C64" s="859"/>
      <c r="D64" s="860">
        <v>340</v>
      </c>
      <c r="E64" s="861"/>
      <c r="F64" s="44">
        <f>F65+F66+F67+F68+F69+F70</f>
        <v>1590662.8</v>
      </c>
      <c r="G64" s="44">
        <f>G65+G66+G67+G68+G69+G70</f>
        <v>216000</v>
      </c>
      <c r="H64" s="44">
        <f t="shared" ref="H64:T64" si="30">H65+H66+H67+H68+H69+H70</f>
        <v>259736</v>
      </c>
      <c r="I64" s="44">
        <f t="shared" si="30"/>
        <v>0</v>
      </c>
      <c r="J64" s="44">
        <f t="shared" si="30"/>
        <v>0</v>
      </c>
      <c r="K64" s="44">
        <f t="shared" si="30"/>
        <v>0</v>
      </c>
      <c r="L64" s="44">
        <f t="shared" ref="L64" si="31">L65+L66+L67+L68+L69+L70</f>
        <v>0</v>
      </c>
      <c r="M64" s="44">
        <f t="shared" si="30"/>
        <v>0</v>
      </c>
      <c r="N64" s="44">
        <f t="shared" si="30"/>
        <v>0</v>
      </c>
      <c r="O64" s="44">
        <f t="shared" si="30"/>
        <v>1019898</v>
      </c>
      <c r="P64" s="44">
        <f t="shared" si="30"/>
        <v>0</v>
      </c>
      <c r="Q64" s="44">
        <f t="shared" si="30"/>
        <v>0</v>
      </c>
      <c r="R64" s="44">
        <f t="shared" ref="R64" si="32">R65+R66+R67+R68+R69+R70</f>
        <v>0</v>
      </c>
      <c r="S64" s="44">
        <f t="shared" si="30"/>
        <v>68896.800000000003</v>
      </c>
      <c r="T64" s="50">
        <f t="shared" si="30"/>
        <v>26132</v>
      </c>
    </row>
    <row r="65" spans="1:20" ht="31.5" customHeight="1" x14ac:dyDescent="0.25">
      <c r="A65" s="42" t="s">
        <v>3</v>
      </c>
      <c r="B65" s="40" t="s">
        <v>100</v>
      </c>
      <c r="C65" s="125" t="s">
        <v>49</v>
      </c>
      <c r="D65" s="67">
        <v>34001</v>
      </c>
      <c r="E65" s="125" t="s">
        <v>82</v>
      </c>
      <c r="F65" s="13">
        <f>SUM(G65:T65)</f>
        <v>3000</v>
      </c>
      <c r="G65" s="13">
        <f>3000</f>
        <v>3000</v>
      </c>
      <c r="H65" s="13"/>
      <c r="I65" s="13"/>
      <c r="J65" s="13"/>
      <c r="K65" s="13"/>
      <c r="L65" s="13"/>
      <c r="M65" s="13"/>
      <c r="N65" s="13"/>
      <c r="O65" s="13"/>
      <c r="P65" s="13"/>
      <c r="Q65" s="13"/>
      <c r="R65" s="33"/>
      <c r="S65" s="33"/>
      <c r="T65" s="18"/>
    </row>
    <row r="66" spans="1:20" ht="24.75" customHeight="1" x14ac:dyDescent="0.25">
      <c r="A66" s="42" t="s">
        <v>1</v>
      </c>
      <c r="B66" s="40" t="s">
        <v>100</v>
      </c>
      <c r="C66" s="125" t="s">
        <v>49</v>
      </c>
      <c r="D66" s="67">
        <v>34002</v>
      </c>
      <c r="E66" s="125" t="s">
        <v>83</v>
      </c>
      <c r="F66" s="13">
        <f>SUM(G66:T66)</f>
        <v>1114926.8</v>
      </c>
      <c r="G66" s="13">
        <v>0</v>
      </c>
      <c r="H66" s="13"/>
      <c r="I66" s="13"/>
      <c r="J66" s="13"/>
      <c r="K66" s="13"/>
      <c r="L66" s="13"/>
      <c r="M66" s="13"/>
      <c r="N66" s="13"/>
      <c r="O66" s="185">
        <f>1019898</f>
        <v>1019898</v>
      </c>
      <c r="P66" s="13"/>
      <c r="Q66" s="13"/>
      <c r="R66" s="13"/>
      <c r="S66" s="185">
        <f>68896.8</f>
        <v>68896.800000000003</v>
      </c>
      <c r="T66" s="317">
        <f>26132</f>
        <v>26132</v>
      </c>
    </row>
    <row r="67" spans="1:20" ht="24.75" customHeight="1" x14ac:dyDescent="0.25">
      <c r="A67" s="42" t="s">
        <v>134</v>
      </c>
      <c r="B67" s="40" t="s">
        <v>135</v>
      </c>
      <c r="C67" s="125" t="s">
        <v>49</v>
      </c>
      <c r="D67" s="67">
        <v>34002</v>
      </c>
      <c r="E67" s="125" t="s">
        <v>83</v>
      </c>
      <c r="F67" s="13">
        <f>SUM(G67:T67)</f>
        <v>0</v>
      </c>
      <c r="G67" s="155">
        <v>0</v>
      </c>
      <c r="H67" s="13"/>
      <c r="I67" s="13"/>
      <c r="J67" s="13"/>
      <c r="K67" s="13"/>
      <c r="L67" s="13"/>
      <c r="M67" s="13"/>
      <c r="N67" s="13"/>
      <c r="O67" s="13"/>
      <c r="P67" s="13"/>
      <c r="Q67" s="13"/>
      <c r="R67" s="13"/>
      <c r="S67" s="13"/>
      <c r="T67" s="18"/>
    </row>
    <row r="68" spans="1:20" ht="23.25" customHeight="1" x14ac:dyDescent="0.25">
      <c r="A68" s="42" t="s">
        <v>27</v>
      </c>
      <c r="B68" s="40" t="s">
        <v>100</v>
      </c>
      <c r="C68" s="125" t="s">
        <v>49</v>
      </c>
      <c r="D68" s="67">
        <v>34003</v>
      </c>
      <c r="E68" s="125" t="s">
        <v>84</v>
      </c>
      <c r="F68" s="13">
        <f>SUM(G68:T68)</f>
        <v>0</v>
      </c>
      <c r="G68" s="13">
        <v>0</v>
      </c>
      <c r="H68" s="13"/>
      <c r="I68" s="13"/>
      <c r="J68" s="13"/>
      <c r="K68" s="13"/>
      <c r="L68" s="13"/>
      <c r="M68" s="13"/>
      <c r="N68" s="13"/>
      <c r="O68" s="13"/>
      <c r="P68" s="13"/>
      <c r="Q68" s="13"/>
      <c r="R68" s="13"/>
      <c r="S68" s="13"/>
      <c r="T68" s="18"/>
    </row>
    <row r="69" spans="1:20" ht="24" customHeight="1" x14ac:dyDescent="0.25">
      <c r="A69" s="42" t="s">
        <v>28</v>
      </c>
      <c r="B69" s="40" t="s">
        <v>100</v>
      </c>
      <c r="C69" s="125" t="s">
        <v>49</v>
      </c>
      <c r="D69" s="67">
        <v>34004</v>
      </c>
      <c r="E69" s="125" t="s">
        <v>85</v>
      </c>
      <c r="F69" s="13">
        <f>SUM(G69:T69)</f>
        <v>20000</v>
      </c>
      <c r="G69" s="13">
        <f>20000</f>
        <v>20000</v>
      </c>
      <c r="H69" s="13"/>
      <c r="I69" s="13"/>
      <c r="J69" s="13"/>
      <c r="K69" s="13"/>
      <c r="L69" s="13"/>
      <c r="M69" s="13"/>
      <c r="N69" s="13"/>
      <c r="O69" s="13"/>
      <c r="P69" s="13"/>
      <c r="Q69" s="13"/>
      <c r="R69" s="13"/>
      <c r="S69" s="13"/>
      <c r="T69" s="18"/>
    </row>
    <row r="70" spans="1:20" ht="31.5" customHeight="1" x14ac:dyDescent="0.25">
      <c r="A70" s="895" t="s">
        <v>29</v>
      </c>
      <c r="B70" s="896"/>
      <c r="C70" s="897"/>
      <c r="D70" s="898">
        <v>34099</v>
      </c>
      <c r="E70" s="899"/>
      <c r="F70" s="32">
        <f>SUM(F71:F73)</f>
        <v>452736</v>
      </c>
      <c r="G70" s="32">
        <f>SUM(G71:G73)</f>
        <v>193000</v>
      </c>
      <c r="H70" s="32">
        <f t="shared" ref="H70:T70" si="33">SUM(H71:H73)</f>
        <v>259736</v>
      </c>
      <c r="I70" s="32">
        <f t="shared" si="33"/>
        <v>0</v>
      </c>
      <c r="J70" s="32">
        <f t="shared" si="33"/>
        <v>0</v>
      </c>
      <c r="K70" s="32">
        <f t="shared" si="33"/>
        <v>0</v>
      </c>
      <c r="L70" s="32">
        <f t="shared" si="33"/>
        <v>0</v>
      </c>
      <c r="M70" s="32">
        <f t="shared" si="33"/>
        <v>0</v>
      </c>
      <c r="N70" s="32">
        <f t="shared" si="33"/>
        <v>0</v>
      </c>
      <c r="O70" s="32">
        <f t="shared" si="33"/>
        <v>0</v>
      </c>
      <c r="P70" s="32">
        <f t="shared" si="33"/>
        <v>0</v>
      </c>
      <c r="Q70" s="32">
        <f t="shared" si="33"/>
        <v>0</v>
      </c>
      <c r="R70" s="32">
        <f t="shared" si="33"/>
        <v>0</v>
      </c>
      <c r="S70" s="32">
        <f t="shared" si="33"/>
        <v>0</v>
      </c>
      <c r="T70" s="55">
        <f t="shared" si="33"/>
        <v>0</v>
      </c>
    </row>
    <row r="71" spans="1:20" ht="30" customHeight="1" x14ac:dyDescent="0.25">
      <c r="A71" s="42" t="s">
        <v>136</v>
      </c>
      <c r="B71" s="40" t="s">
        <v>100</v>
      </c>
      <c r="C71" s="125" t="s">
        <v>49</v>
      </c>
      <c r="D71" s="67">
        <v>34099</v>
      </c>
      <c r="E71" s="125" t="s">
        <v>137</v>
      </c>
      <c r="F71" s="13">
        <f t="shared" ref="F71" si="34">SUM(G71:T71)</f>
        <v>10000</v>
      </c>
      <c r="G71" s="13">
        <f>10000</f>
        <v>10000</v>
      </c>
      <c r="H71" s="13"/>
      <c r="I71" s="13"/>
      <c r="J71" s="13"/>
      <c r="K71" s="13"/>
      <c r="L71" s="13"/>
      <c r="M71" s="13"/>
      <c r="N71" s="13"/>
      <c r="O71" s="13"/>
      <c r="P71" s="13"/>
      <c r="Q71" s="13"/>
      <c r="R71" s="13"/>
      <c r="S71" s="13"/>
      <c r="T71" s="18"/>
    </row>
    <row r="72" spans="1:20" ht="30" customHeight="1" x14ac:dyDescent="0.25">
      <c r="A72" s="42" t="s">
        <v>138</v>
      </c>
      <c r="B72" s="40" t="s">
        <v>100</v>
      </c>
      <c r="C72" s="125" t="s">
        <v>49</v>
      </c>
      <c r="D72" s="67">
        <v>34099</v>
      </c>
      <c r="E72" s="125" t="s">
        <v>86</v>
      </c>
      <c r="F72" s="13">
        <f>SUM(G72:T72)</f>
        <v>439736</v>
      </c>
      <c r="G72" s="13">
        <f>180000</f>
        <v>180000</v>
      </c>
      <c r="H72" s="13">
        <f>259736</f>
        <v>259736</v>
      </c>
      <c r="I72" s="13"/>
      <c r="J72" s="13"/>
      <c r="K72" s="13"/>
      <c r="L72" s="13"/>
      <c r="M72" s="13"/>
      <c r="N72" s="13"/>
      <c r="O72" s="13"/>
      <c r="P72" s="13"/>
      <c r="Q72" s="13"/>
      <c r="R72" s="13"/>
      <c r="S72" s="13"/>
      <c r="T72" s="186"/>
    </row>
    <row r="73" spans="1:20" ht="32.25" customHeight="1" thickBot="1" x14ac:dyDescent="0.3">
      <c r="A73" s="60" t="s">
        <v>88</v>
      </c>
      <c r="B73" s="61" t="s">
        <v>100</v>
      </c>
      <c r="C73" s="126" t="s">
        <v>49</v>
      </c>
      <c r="D73" s="62">
        <v>34099</v>
      </c>
      <c r="E73" s="126" t="s">
        <v>87</v>
      </c>
      <c r="F73" s="15">
        <f>SUM(G73:T73)</f>
        <v>3000</v>
      </c>
      <c r="G73" s="15">
        <f>3000</f>
        <v>3000</v>
      </c>
      <c r="H73" s="15"/>
      <c r="I73" s="15"/>
      <c r="J73" s="15"/>
      <c r="K73" s="15"/>
      <c r="L73" s="15"/>
      <c r="M73" s="15"/>
      <c r="N73" s="15"/>
      <c r="O73" s="15"/>
      <c r="P73" s="15"/>
      <c r="Q73" s="15"/>
      <c r="R73" s="63"/>
      <c r="S73" s="63"/>
      <c r="T73" s="19"/>
    </row>
    <row r="74" spans="1:20" ht="31.5" customHeight="1" thickBot="1" x14ac:dyDescent="0.35">
      <c r="A74" s="892" t="s">
        <v>498</v>
      </c>
      <c r="B74" s="893"/>
      <c r="C74" s="893"/>
      <c r="D74" s="893"/>
      <c r="E74" s="894"/>
      <c r="F74" s="147">
        <f>F21+F23+F24+F29+F37+F41+F42+F45+F58</f>
        <v>10933717.800000001</v>
      </c>
      <c r="G74" s="4"/>
      <c r="H74" s="4"/>
      <c r="I74" s="4"/>
      <c r="J74" s="4"/>
      <c r="K74" s="4"/>
      <c r="L74" s="4"/>
      <c r="M74" s="4"/>
      <c r="N74" s="4"/>
      <c r="O74" s="4"/>
      <c r="P74" s="4"/>
      <c r="Q74" s="4"/>
      <c r="R74" s="4"/>
      <c r="S74" s="4"/>
      <c r="T74" s="4"/>
    </row>
    <row r="75" spans="1:20" ht="31.5" customHeight="1" thickBot="1" x14ac:dyDescent="0.35">
      <c r="A75" s="892">
        <v>4</v>
      </c>
      <c r="B75" s="893"/>
      <c r="C75" s="893"/>
      <c r="D75" s="893"/>
      <c r="E75" s="894"/>
      <c r="F75" s="147">
        <f>F74-F76</f>
        <v>10838689</v>
      </c>
      <c r="G75" s="4"/>
      <c r="H75" s="4"/>
      <c r="I75" s="4"/>
      <c r="J75" s="4"/>
      <c r="K75" s="4"/>
      <c r="L75" s="4"/>
      <c r="M75" s="4"/>
      <c r="N75" s="4"/>
      <c r="O75" s="4"/>
      <c r="P75" s="4"/>
      <c r="Q75" s="4"/>
      <c r="R75" s="4"/>
      <c r="S75" s="4"/>
      <c r="T75" s="4"/>
    </row>
    <row r="76" spans="1:20" ht="31.5" customHeight="1" thickBot="1" x14ac:dyDescent="0.35">
      <c r="A76" s="892">
        <v>5</v>
      </c>
      <c r="B76" s="893"/>
      <c r="C76" s="893"/>
      <c r="D76" s="893"/>
      <c r="E76" s="894"/>
      <c r="F76" s="147">
        <f>R13+S13+T13-R14</f>
        <v>95028.800000000003</v>
      </c>
      <c r="G76" s="4"/>
      <c r="H76" s="4"/>
      <c r="I76" s="4"/>
      <c r="J76" s="4"/>
      <c r="K76" s="4"/>
      <c r="L76" s="4"/>
      <c r="M76" s="4"/>
      <c r="N76" s="4"/>
      <c r="O76" s="4"/>
      <c r="P76" s="4"/>
      <c r="Q76" s="4"/>
      <c r="R76" s="4"/>
      <c r="S76" s="4"/>
      <c r="T76" s="4"/>
    </row>
    <row r="82" spans="16:16" x14ac:dyDescent="0.2">
      <c r="P82" t="s">
        <v>544</v>
      </c>
    </row>
  </sheetData>
  <mergeCells count="56">
    <mergeCell ref="A70:C70"/>
    <mergeCell ref="D70:E70"/>
    <mergeCell ref="I8:J10"/>
    <mergeCell ref="F8:F11"/>
    <mergeCell ref="A74:E74"/>
    <mergeCell ref="A18:C18"/>
    <mergeCell ref="A36:C36"/>
    <mergeCell ref="D36:E36"/>
    <mergeCell ref="A48:C48"/>
    <mergeCell ref="D48:E48"/>
    <mergeCell ref="A24:C24"/>
    <mergeCell ref="D29:E29"/>
    <mergeCell ref="A29:C29"/>
    <mergeCell ref="D18:E18"/>
    <mergeCell ref="A20:C20"/>
    <mergeCell ref="D20:E20"/>
    <mergeCell ref="D24:E24"/>
    <mergeCell ref="D64:E64"/>
    <mergeCell ref="A46:C46"/>
    <mergeCell ref="D46:E46"/>
    <mergeCell ref="A12:F12"/>
    <mergeCell ref="A13:E13"/>
    <mergeCell ref="E52:E53"/>
    <mergeCell ref="D14:E14"/>
    <mergeCell ref="B8:B11"/>
    <mergeCell ref="A14:C14"/>
    <mergeCell ref="A1:B1"/>
    <mergeCell ref="D1:E1"/>
    <mergeCell ref="A8:A11"/>
    <mergeCell ref="C8:C11"/>
    <mergeCell ref="D8:D11"/>
    <mergeCell ref="E8:E11"/>
    <mergeCell ref="A5:T6"/>
    <mergeCell ref="A2:Q3"/>
    <mergeCell ref="S8:S11"/>
    <mergeCell ref="H8:H11"/>
    <mergeCell ref="Q8:Q11"/>
    <mergeCell ref="G8:G11"/>
    <mergeCell ref="T8:T11"/>
    <mergeCell ref="P8:P11"/>
    <mergeCell ref="O8:O11"/>
    <mergeCell ref="R8:R11"/>
    <mergeCell ref="A75:E75"/>
    <mergeCell ref="A76:E76"/>
    <mergeCell ref="K8:K11"/>
    <mergeCell ref="M8:M11"/>
    <mergeCell ref="N8:N11"/>
    <mergeCell ref="L8:L11"/>
    <mergeCell ref="A64:C64"/>
    <mergeCell ref="A51:C51"/>
    <mergeCell ref="D51:E51"/>
    <mergeCell ref="D59:E59"/>
    <mergeCell ref="A58:C58"/>
    <mergeCell ref="A59:C59"/>
    <mergeCell ref="D58:E58"/>
    <mergeCell ref="C52:C53"/>
  </mergeCells>
  <phoneticPr fontId="0" type="noConversion"/>
  <pageMargins left="0.78740157480314965" right="0" top="0" bottom="0" header="1.0629921259842521" footer="0.15748031496062992"/>
  <pageSetup paperSize="9" scale="2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75"/>
  <sheetViews>
    <sheetView zoomScale="62" zoomScaleNormal="62" workbookViewId="0">
      <selection activeCell="L73" sqref="L73"/>
    </sheetView>
  </sheetViews>
  <sheetFormatPr defaultRowHeight="12.75" x14ac:dyDescent="0.2"/>
  <cols>
    <col min="1" max="1" width="47.85546875" customWidth="1"/>
    <col min="2" max="3" width="9.7109375" customWidth="1"/>
    <col min="4" max="4" width="13.5703125" customWidth="1"/>
    <col min="5" max="5" width="9.5703125" customWidth="1"/>
    <col min="6" max="6" width="24.140625" customWidth="1"/>
    <col min="7" max="10" width="21.42578125" hidden="1" customWidth="1"/>
    <col min="11" max="11" width="25.5703125" customWidth="1"/>
    <col min="12" max="12" width="26.28515625" customWidth="1"/>
    <col min="13" max="13" width="25.28515625" customWidth="1"/>
    <col min="14" max="14" width="25.42578125" customWidth="1"/>
  </cols>
  <sheetData>
    <row r="1" spans="1:14" s="2" customFormat="1" ht="18" x14ac:dyDescent="0.2">
      <c r="A1" s="840"/>
      <c r="B1" s="840"/>
      <c r="C1" s="177"/>
      <c r="D1" s="841"/>
      <c r="E1" s="841"/>
      <c r="F1" s="8"/>
      <c r="G1" s="8"/>
      <c r="H1" s="8"/>
      <c r="I1" s="8"/>
      <c r="J1" s="8"/>
      <c r="K1" s="8"/>
      <c r="L1" s="8"/>
      <c r="M1" s="8"/>
      <c r="N1" s="8"/>
    </row>
    <row r="2" spans="1:14" s="2" customFormat="1" ht="21" customHeight="1" x14ac:dyDescent="0.2">
      <c r="A2" s="846" t="s">
        <v>637</v>
      </c>
      <c r="B2" s="846"/>
      <c r="C2" s="846"/>
      <c r="D2" s="846"/>
      <c r="E2" s="846"/>
      <c r="F2" s="846"/>
      <c r="G2" s="846"/>
      <c r="H2" s="846"/>
      <c r="I2" s="846"/>
      <c r="J2" s="846"/>
      <c r="K2" s="846"/>
      <c r="L2" s="846"/>
      <c r="M2" s="846"/>
      <c r="N2" s="846"/>
    </row>
    <row r="3" spans="1:14" s="2" customFormat="1" ht="42.75" customHeight="1" x14ac:dyDescent="0.2">
      <c r="A3" s="846"/>
      <c r="B3" s="846"/>
      <c r="C3" s="846"/>
      <c r="D3" s="846"/>
      <c r="E3" s="846"/>
      <c r="F3" s="846"/>
      <c r="G3" s="846"/>
      <c r="H3" s="846"/>
      <c r="I3" s="846"/>
      <c r="J3" s="846"/>
      <c r="K3" s="846"/>
      <c r="L3" s="846"/>
      <c r="M3" s="846"/>
      <c r="N3" s="846"/>
    </row>
    <row r="4" spans="1:14" s="2" customFormat="1" ht="9.75" customHeight="1" x14ac:dyDescent="0.4">
      <c r="A4" s="28"/>
      <c r="B4" s="28"/>
      <c r="C4" s="28"/>
      <c r="D4" s="28"/>
      <c r="E4" s="28"/>
      <c r="F4" s="28"/>
      <c r="G4" s="28"/>
      <c r="H4" s="28"/>
      <c r="I4" s="28"/>
      <c r="J4" s="28"/>
      <c r="K4" s="28"/>
      <c r="L4" s="28"/>
      <c r="M4" s="28"/>
      <c r="N4" s="28"/>
    </row>
    <row r="5" spans="1:14" s="2" customFormat="1" ht="15.75" customHeight="1" x14ac:dyDescent="0.2">
      <c r="A5" s="847" t="s">
        <v>569</v>
      </c>
      <c r="B5" s="847"/>
      <c r="C5" s="847"/>
      <c r="D5" s="847"/>
      <c r="E5" s="847"/>
      <c r="F5" s="847"/>
      <c r="G5" s="847"/>
      <c r="H5" s="847"/>
      <c r="I5" s="847"/>
      <c r="J5" s="847"/>
      <c r="K5" s="847"/>
      <c r="L5" s="847"/>
      <c r="M5" s="847"/>
      <c r="N5" s="847"/>
    </row>
    <row r="6" spans="1:14" s="2" customFormat="1" ht="40.5" customHeight="1" x14ac:dyDescent="0.2">
      <c r="A6" s="847"/>
      <c r="B6" s="847"/>
      <c r="C6" s="847"/>
      <c r="D6" s="847"/>
      <c r="E6" s="847"/>
      <c r="F6" s="847"/>
      <c r="G6" s="847"/>
      <c r="H6" s="847"/>
      <c r="I6" s="847"/>
      <c r="J6" s="847"/>
      <c r="K6" s="847"/>
      <c r="L6" s="847"/>
      <c r="M6" s="847"/>
      <c r="N6" s="847"/>
    </row>
    <row r="7" spans="1:14" ht="29.25" customHeight="1" thickBot="1" x14ac:dyDescent="0.45">
      <c r="A7" s="25" t="s">
        <v>32</v>
      </c>
      <c r="B7" s="6"/>
      <c r="C7" s="22"/>
      <c r="D7" s="23"/>
      <c r="E7" s="23"/>
      <c r="F7" s="24"/>
      <c r="G7" s="23"/>
      <c r="H7" s="23"/>
      <c r="I7" s="23"/>
      <c r="J7" s="23"/>
      <c r="K7" s="23"/>
      <c r="L7" s="23"/>
      <c r="M7" s="23"/>
      <c r="N7" s="23"/>
    </row>
    <row r="8" spans="1:14" ht="83.25" customHeight="1" x14ac:dyDescent="0.2">
      <c r="A8" s="842" t="s">
        <v>10</v>
      </c>
      <c r="B8" s="936" t="s">
        <v>95</v>
      </c>
      <c r="C8" s="844" t="s">
        <v>89</v>
      </c>
      <c r="D8" s="844" t="s">
        <v>11</v>
      </c>
      <c r="E8" s="844" t="s">
        <v>62</v>
      </c>
      <c r="F8" s="958" t="s">
        <v>34</v>
      </c>
      <c r="G8" s="938" t="s">
        <v>553</v>
      </c>
      <c r="H8" s="938" t="s">
        <v>555</v>
      </c>
      <c r="I8" s="938" t="s">
        <v>550</v>
      </c>
      <c r="J8" s="938" t="s">
        <v>551</v>
      </c>
      <c r="K8" s="940" t="s">
        <v>707</v>
      </c>
      <c r="L8" s="940" t="s">
        <v>700</v>
      </c>
      <c r="M8" s="942" t="s">
        <v>687</v>
      </c>
      <c r="N8" s="943"/>
    </row>
    <row r="9" spans="1:14" ht="64.5" customHeight="1" x14ac:dyDescent="0.2">
      <c r="A9" s="843"/>
      <c r="B9" s="937"/>
      <c r="C9" s="845"/>
      <c r="D9" s="845"/>
      <c r="E9" s="845"/>
      <c r="F9" s="959"/>
      <c r="G9" s="939"/>
      <c r="H9" s="939"/>
      <c r="I9" s="939"/>
      <c r="J9" s="939"/>
      <c r="K9" s="941"/>
      <c r="L9" s="941"/>
      <c r="M9" s="333" t="s">
        <v>697</v>
      </c>
      <c r="N9" s="334" t="s">
        <v>688</v>
      </c>
    </row>
    <row r="10" spans="1:14" ht="47.25" hidden="1" customHeight="1" thickBot="1" x14ac:dyDescent="0.25">
      <c r="A10" s="843"/>
      <c r="B10" s="937"/>
      <c r="C10" s="845"/>
      <c r="D10" s="845"/>
      <c r="E10" s="845"/>
      <c r="F10" s="959"/>
      <c r="G10" s="939"/>
      <c r="H10" s="939"/>
      <c r="I10" s="939"/>
      <c r="J10" s="939"/>
      <c r="K10" s="941"/>
      <c r="L10" s="941"/>
      <c r="M10" s="34" t="s">
        <v>698</v>
      </c>
      <c r="N10" s="35" t="s">
        <v>699</v>
      </c>
    </row>
    <row r="11" spans="1:14" ht="171.75" hidden="1" customHeight="1" thickBot="1" x14ac:dyDescent="0.25">
      <c r="A11" s="843"/>
      <c r="B11" s="937"/>
      <c r="C11" s="845"/>
      <c r="D11" s="845"/>
      <c r="E11" s="845"/>
      <c r="F11" s="959"/>
      <c r="G11" s="939"/>
      <c r="H11" s="939"/>
      <c r="I11" s="939"/>
      <c r="J11" s="939"/>
      <c r="K11" s="941"/>
      <c r="L11" s="941"/>
      <c r="M11" s="333" t="s">
        <v>697</v>
      </c>
      <c r="N11" s="334" t="s">
        <v>688</v>
      </c>
    </row>
    <row r="12" spans="1:14" s="31" customFormat="1" ht="48.75" customHeight="1" x14ac:dyDescent="0.35">
      <c r="A12" s="956" t="s">
        <v>38</v>
      </c>
      <c r="B12" s="957"/>
      <c r="C12" s="957"/>
      <c r="D12" s="957"/>
      <c r="E12" s="957"/>
      <c r="F12" s="957"/>
      <c r="G12" s="34" t="s">
        <v>554</v>
      </c>
      <c r="H12" s="34" t="s">
        <v>556</v>
      </c>
      <c r="I12" s="34" t="s">
        <v>549</v>
      </c>
      <c r="J12" s="34" t="s">
        <v>549</v>
      </c>
      <c r="K12" s="34" t="s">
        <v>706</v>
      </c>
      <c r="L12" s="34" t="s">
        <v>701</v>
      </c>
      <c r="M12" s="34" t="s">
        <v>698</v>
      </c>
      <c r="N12" s="35" t="s">
        <v>699</v>
      </c>
    </row>
    <row r="13" spans="1:14" ht="43.5" customHeight="1" x14ac:dyDescent="0.3">
      <c r="A13" s="876" t="s">
        <v>15</v>
      </c>
      <c r="B13" s="877"/>
      <c r="C13" s="877"/>
      <c r="D13" s="877"/>
      <c r="E13" s="877"/>
      <c r="F13" s="64">
        <f>SUM(K13:N13)</f>
        <v>769918</v>
      </c>
      <c r="G13" s="64">
        <f t="shared" ref="G13:J13" si="0">G14+G20+G45+G49+G57+G43</f>
        <v>0</v>
      </c>
      <c r="H13" s="64">
        <f t="shared" si="0"/>
        <v>0</v>
      </c>
      <c r="I13" s="64">
        <f t="shared" si="0"/>
        <v>0</v>
      </c>
      <c r="J13" s="64">
        <f t="shared" si="0"/>
        <v>0</v>
      </c>
      <c r="K13" s="64">
        <f t="shared" ref="K13:N13" si="1">K14+K20+K43+K45+K49+K57</f>
        <v>61942</v>
      </c>
      <c r="L13" s="64">
        <f t="shared" si="1"/>
        <v>528300</v>
      </c>
      <c r="M13" s="64">
        <f t="shared" si="1"/>
        <v>171864</v>
      </c>
      <c r="N13" s="65">
        <f t="shared" si="1"/>
        <v>7812</v>
      </c>
    </row>
    <row r="14" spans="1:14" ht="42.75" customHeight="1" x14ac:dyDescent="0.3">
      <c r="A14" s="872" t="s">
        <v>94</v>
      </c>
      <c r="B14" s="873"/>
      <c r="C14" s="873"/>
      <c r="D14" s="947">
        <v>210</v>
      </c>
      <c r="E14" s="947"/>
      <c r="F14" s="47">
        <f>SUM(K14:N14)</f>
        <v>769918</v>
      </c>
      <c r="G14" s="47">
        <f t="shared" ref="G14:L14" si="2">G15+G16+G17+G18</f>
        <v>0</v>
      </c>
      <c r="H14" s="47">
        <f t="shared" si="2"/>
        <v>0</v>
      </c>
      <c r="I14" s="47">
        <f t="shared" si="2"/>
        <v>0</v>
      </c>
      <c r="J14" s="47">
        <f t="shared" si="2"/>
        <v>0</v>
      </c>
      <c r="K14" s="47">
        <f t="shared" si="2"/>
        <v>61942</v>
      </c>
      <c r="L14" s="47">
        <f t="shared" si="2"/>
        <v>528300</v>
      </c>
      <c r="M14" s="47">
        <f t="shared" ref="M14:N14" si="3">M15+M16+M17+M18</f>
        <v>171864</v>
      </c>
      <c r="N14" s="56">
        <f t="shared" si="3"/>
        <v>7812</v>
      </c>
    </row>
    <row r="15" spans="1:14" ht="36" customHeight="1" x14ac:dyDescent="0.25">
      <c r="A15" s="20" t="s">
        <v>16</v>
      </c>
      <c r="B15" s="40" t="s">
        <v>96</v>
      </c>
      <c r="C15" s="328" t="s">
        <v>47</v>
      </c>
      <c r="D15" s="67">
        <v>21101</v>
      </c>
      <c r="E15" s="328" t="s">
        <v>90</v>
      </c>
      <c r="F15" s="13">
        <f>SUM(K15:N15)</f>
        <v>591334.36</v>
      </c>
      <c r="G15" s="13"/>
      <c r="H15" s="13"/>
      <c r="I15" s="13"/>
      <c r="J15" s="13"/>
      <c r="K15" s="13">
        <f>47574</f>
        <v>47574</v>
      </c>
      <c r="L15" s="13">
        <f>405760.36</f>
        <v>405760.36</v>
      </c>
      <c r="M15" s="13">
        <f>132000</f>
        <v>132000</v>
      </c>
      <c r="N15" s="18">
        <f>6000</f>
        <v>6000</v>
      </c>
    </row>
    <row r="16" spans="1:14" ht="35.25" customHeight="1" thickBot="1" x14ac:dyDescent="0.3">
      <c r="A16" s="199" t="s">
        <v>17</v>
      </c>
      <c r="B16" s="61" t="s">
        <v>97</v>
      </c>
      <c r="C16" s="126" t="s">
        <v>48</v>
      </c>
      <c r="D16" s="62">
        <v>21300</v>
      </c>
      <c r="E16" s="126" t="s">
        <v>18</v>
      </c>
      <c r="F16" s="15">
        <f>SUM(K16:N16)</f>
        <v>178583.64</v>
      </c>
      <c r="G16" s="15"/>
      <c r="H16" s="15"/>
      <c r="I16" s="15"/>
      <c r="J16" s="15"/>
      <c r="K16" s="15">
        <f>14368</f>
        <v>14368</v>
      </c>
      <c r="L16" s="15">
        <f>122539.64</f>
        <v>122539.64</v>
      </c>
      <c r="M16" s="15">
        <f>39864</f>
        <v>39864</v>
      </c>
      <c r="N16" s="19">
        <f>1812</f>
        <v>1812</v>
      </c>
    </row>
    <row r="17" spans="1:14" ht="36" hidden="1" customHeight="1" x14ac:dyDescent="0.25">
      <c r="A17" s="195" t="s">
        <v>98</v>
      </c>
      <c r="B17" s="196" t="s">
        <v>99</v>
      </c>
      <c r="C17" s="327" t="s">
        <v>48</v>
      </c>
      <c r="D17" s="197">
        <v>21300</v>
      </c>
      <c r="E17" s="327" t="s">
        <v>18</v>
      </c>
      <c r="F17" s="198">
        <f t="shared" ref="F17:F19" si="4">SUM(G17:K17)</f>
        <v>0</v>
      </c>
      <c r="G17" s="198"/>
      <c r="H17" s="198"/>
      <c r="I17" s="198"/>
      <c r="J17" s="198"/>
      <c r="K17" s="198"/>
      <c r="L17" s="329"/>
      <c r="M17" s="329"/>
      <c r="N17" s="329"/>
    </row>
    <row r="18" spans="1:14" ht="29.25" hidden="1" customHeight="1" x14ac:dyDescent="0.3">
      <c r="A18" s="862" t="s">
        <v>12</v>
      </c>
      <c r="B18" s="863"/>
      <c r="C18" s="863"/>
      <c r="D18" s="949">
        <v>212</v>
      </c>
      <c r="E18" s="949"/>
      <c r="F18" s="44">
        <f t="shared" si="4"/>
        <v>0</v>
      </c>
      <c r="G18" s="44">
        <f t="shared" ref="G18:N18" si="5">G19</f>
        <v>0</v>
      </c>
      <c r="H18" s="44">
        <f t="shared" si="5"/>
        <v>0</v>
      </c>
      <c r="I18" s="44">
        <f t="shared" si="5"/>
        <v>0</v>
      </c>
      <c r="J18" s="44">
        <f t="shared" si="5"/>
        <v>0</v>
      </c>
      <c r="K18" s="44">
        <f t="shared" si="5"/>
        <v>0</v>
      </c>
      <c r="L18" s="50">
        <f t="shared" si="5"/>
        <v>0</v>
      </c>
      <c r="M18" s="50">
        <f t="shared" si="5"/>
        <v>0</v>
      </c>
      <c r="N18" s="50">
        <f t="shared" si="5"/>
        <v>0</v>
      </c>
    </row>
    <row r="19" spans="1:14" ht="34.5" hidden="1" customHeight="1" x14ac:dyDescent="0.3">
      <c r="A19" s="57" t="s">
        <v>112</v>
      </c>
      <c r="B19" s="166" t="s">
        <v>100</v>
      </c>
      <c r="C19" s="38">
        <v>112</v>
      </c>
      <c r="D19" s="41">
        <v>21201</v>
      </c>
      <c r="E19" s="178" t="s">
        <v>59</v>
      </c>
      <c r="F19" s="13">
        <f t="shared" si="4"/>
        <v>0</v>
      </c>
      <c r="G19" s="14"/>
      <c r="H19" s="14"/>
      <c r="I19" s="14"/>
      <c r="J19" s="14"/>
      <c r="K19" s="13"/>
      <c r="L19" s="18"/>
      <c r="M19" s="18"/>
      <c r="N19" s="18"/>
    </row>
    <row r="20" spans="1:14" ht="27.75" hidden="1" customHeight="1" x14ac:dyDescent="0.3">
      <c r="A20" s="872" t="s">
        <v>92</v>
      </c>
      <c r="B20" s="873"/>
      <c r="C20" s="873"/>
      <c r="D20" s="955">
        <v>220</v>
      </c>
      <c r="E20" s="955"/>
      <c r="F20" s="45">
        <f>F21+F22+F23+F27+F34</f>
        <v>0</v>
      </c>
      <c r="G20" s="45">
        <f t="shared" ref="G20:K20" si="6">G21+G22+G23+G27+G34</f>
        <v>0</v>
      </c>
      <c r="H20" s="45">
        <f t="shared" si="6"/>
        <v>0</v>
      </c>
      <c r="I20" s="45">
        <f t="shared" si="6"/>
        <v>0</v>
      </c>
      <c r="J20" s="45">
        <f t="shared" si="6"/>
        <v>0</v>
      </c>
      <c r="K20" s="45">
        <f t="shared" si="6"/>
        <v>0</v>
      </c>
      <c r="L20" s="46">
        <f t="shared" ref="L20:N20" si="7">L21+L22+L23+L27+L34</f>
        <v>0</v>
      </c>
      <c r="M20" s="46">
        <f t="shared" si="7"/>
        <v>0</v>
      </c>
      <c r="N20" s="46">
        <f t="shared" si="7"/>
        <v>0</v>
      </c>
    </row>
    <row r="21" spans="1:14" ht="29.25" hidden="1" customHeight="1" x14ac:dyDescent="0.25">
      <c r="A21" s="51" t="s">
        <v>0</v>
      </c>
      <c r="B21" s="167" t="s">
        <v>100</v>
      </c>
      <c r="C21" s="53" t="s">
        <v>49</v>
      </c>
      <c r="D21" s="54">
        <v>22100</v>
      </c>
      <c r="E21" s="53" t="s">
        <v>113</v>
      </c>
      <c r="F21" s="48">
        <f>SUM(G21:K21)</f>
        <v>0</v>
      </c>
      <c r="G21" s="48"/>
      <c r="H21" s="48"/>
      <c r="I21" s="48"/>
      <c r="J21" s="48"/>
      <c r="K21" s="48"/>
      <c r="L21" s="49"/>
      <c r="M21" s="49"/>
      <c r="N21" s="49"/>
    </row>
    <row r="22" spans="1:14" ht="27" hidden="1" customHeight="1" x14ac:dyDescent="0.25">
      <c r="A22" s="51" t="s">
        <v>93</v>
      </c>
      <c r="B22" s="167" t="s">
        <v>100</v>
      </c>
      <c r="C22" s="53" t="s">
        <v>49</v>
      </c>
      <c r="D22" s="54">
        <v>22299</v>
      </c>
      <c r="E22" s="53" t="s">
        <v>60</v>
      </c>
      <c r="F22" s="48">
        <f>SUM(G22:K22)</f>
        <v>0</v>
      </c>
      <c r="G22" s="48"/>
      <c r="H22" s="48"/>
      <c r="I22" s="48"/>
      <c r="J22" s="48"/>
      <c r="K22" s="48"/>
      <c r="L22" s="49"/>
      <c r="M22" s="49"/>
      <c r="N22" s="49"/>
    </row>
    <row r="23" spans="1:14" ht="31.5" hidden="1" customHeight="1" x14ac:dyDescent="0.3">
      <c r="A23" s="862" t="s">
        <v>19</v>
      </c>
      <c r="B23" s="863"/>
      <c r="C23" s="863"/>
      <c r="D23" s="954">
        <v>223</v>
      </c>
      <c r="E23" s="954"/>
      <c r="F23" s="48">
        <f>SUM(F24:F26)</f>
        <v>0</v>
      </c>
      <c r="G23" s="48">
        <f t="shared" ref="G23:K23" si="8">SUM(G24:G26)</f>
        <v>0</v>
      </c>
      <c r="H23" s="48">
        <f t="shared" si="8"/>
        <v>0</v>
      </c>
      <c r="I23" s="48">
        <f t="shared" si="8"/>
        <v>0</v>
      </c>
      <c r="J23" s="48">
        <f t="shared" si="8"/>
        <v>0</v>
      </c>
      <c r="K23" s="48">
        <f t="shared" si="8"/>
        <v>0</v>
      </c>
      <c r="L23" s="49">
        <f t="shared" ref="L23:N23" si="9">SUM(L24:L26)</f>
        <v>0</v>
      </c>
      <c r="M23" s="49">
        <f t="shared" si="9"/>
        <v>0</v>
      </c>
      <c r="N23" s="49">
        <f t="shared" si="9"/>
        <v>0</v>
      </c>
    </row>
    <row r="24" spans="1:14" ht="24.75" hidden="1" customHeight="1" x14ac:dyDescent="0.25">
      <c r="A24" s="37" t="s">
        <v>20</v>
      </c>
      <c r="B24" s="40" t="s">
        <v>102</v>
      </c>
      <c r="C24" s="178" t="s">
        <v>543</v>
      </c>
      <c r="D24" s="67">
        <v>22301</v>
      </c>
      <c r="E24" s="178" t="s">
        <v>69</v>
      </c>
      <c r="F24" s="13">
        <f>SUM(G24:K24)</f>
        <v>0</v>
      </c>
      <c r="G24" s="13"/>
      <c r="H24" s="13"/>
      <c r="I24" s="13"/>
      <c r="J24" s="13"/>
      <c r="K24" s="13"/>
      <c r="L24" s="18"/>
      <c r="M24" s="18"/>
      <c r="N24" s="18"/>
    </row>
    <row r="25" spans="1:14" ht="33.75" hidden="1" customHeight="1" x14ac:dyDescent="0.25">
      <c r="A25" s="20" t="s">
        <v>5</v>
      </c>
      <c r="B25" s="40" t="s">
        <v>102</v>
      </c>
      <c r="C25" s="178" t="s">
        <v>49</v>
      </c>
      <c r="D25" s="67">
        <v>22302</v>
      </c>
      <c r="E25" s="178" t="s">
        <v>69</v>
      </c>
      <c r="F25" s="13">
        <f>SUM(G25:K25)</f>
        <v>0</v>
      </c>
      <c r="G25" s="13"/>
      <c r="H25" s="13"/>
      <c r="I25" s="13"/>
      <c r="J25" s="13"/>
      <c r="K25" s="13"/>
      <c r="L25" s="18"/>
      <c r="M25" s="18"/>
      <c r="N25" s="18"/>
    </row>
    <row r="26" spans="1:14" ht="31.5" hidden="1" customHeight="1" x14ac:dyDescent="0.25">
      <c r="A26" s="37" t="s">
        <v>21</v>
      </c>
      <c r="B26" s="40" t="s">
        <v>102</v>
      </c>
      <c r="C26" s="178" t="s">
        <v>543</v>
      </c>
      <c r="D26" s="67">
        <v>22303</v>
      </c>
      <c r="E26" s="178" t="s">
        <v>69</v>
      </c>
      <c r="F26" s="13">
        <f>SUM(G26:K26)</f>
        <v>0</v>
      </c>
      <c r="G26" s="13"/>
      <c r="H26" s="13"/>
      <c r="I26" s="13"/>
      <c r="J26" s="13"/>
      <c r="K26" s="13"/>
      <c r="L26" s="18"/>
      <c r="M26" s="18"/>
      <c r="N26" s="18"/>
    </row>
    <row r="27" spans="1:14" ht="36" hidden="1" customHeight="1" x14ac:dyDescent="0.3">
      <c r="A27" s="862" t="s">
        <v>103</v>
      </c>
      <c r="B27" s="863"/>
      <c r="C27" s="863"/>
      <c r="D27" s="949">
        <v>225</v>
      </c>
      <c r="E27" s="949"/>
      <c r="F27" s="48">
        <f>SUM(F28:F33)</f>
        <v>0</v>
      </c>
      <c r="G27" s="48">
        <f t="shared" ref="G27:K27" si="10">SUM(G28:G30)</f>
        <v>0</v>
      </c>
      <c r="H27" s="48">
        <f t="shared" si="10"/>
        <v>0</v>
      </c>
      <c r="I27" s="48">
        <f t="shared" si="10"/>
        <v>0</v>
      </c>
      <c r="J27" s="48">
        <f t="shared" si="10"/>
        <v>0</v>
      </c>
      <c r="K27" s="48">
        <f t="shared" si="10"/>
        <v>0</v>
      </c>
      <c r="L27" s="49">
        <f t="shared" ref="L27:N27" si="11">SUM(L28:L30)</f>
        <v>0</v>
      </c>
      <c r="M27" s="49">
        <f t="shared" si="11"/>
        <v>0</v>
      </c>
      <c r="N27" s="49">
        <f t="shared" si="11"/>
        <v>0</v>
      </c>
    </row>
    <row r="28" spans="1:14" ht="35.25" hidden="1" customHeight="1" x14ac:dyDescent="0.25">
      <c r="A28" s="42" t="s">
        <v>54</v>
      </c>
      <c r="B28" s="40" t="s">
        <v>100</v>
      </c>
      <c r="C28" s="178" t="s">
        <v>49</v>
      </c>
      <c r="D28" s="67">
        <v>22501</v>
      </c>
      <c r="E28" s="178" t="s">
        <v>104</v>
      </c>
      <c r="F28" s="13">
        <f t="shared" ref="F28:F42" si="12">SUM(G28:K28)</f>
        <v>0</v>
      </c>
      <c r="G28" s="13"/>
      <c r="H28" s="13"/>
      <c r="I28" s="13"/>
      <c r="J28" s="13"/>
      <c r="K28" s="13"/>
      <c r="L28" s="18"/>
      <c r="M28" s="18"/>
      <c r="N28" s="18"/>
    </row>
    <row r="29" spans="1:14" ht="23.25" hidden="1" customHeight="1" x14ac:dyDescent="0.25">
      <c r="A29" s="42" t="s">
        <v>58</v>
      </c>
      <c r="B29" s="40" t="s">
        <v>100</v>
      </c>
      <c r="C29" s="178" t="s">
        <v>49</v>
      </c>
      <c r="D29" s="67">
        <v>22502</v>
      </c>
      <c r="E29" s="178" t="s">
        <v>104</v>
      </c>
      <c r="F29" s="13">
        <f t="shared" si="12"/>
        <v>0</v>
      </c>
      <c r="G29" s="13"/>
      <c r="H29" s="13"/>
      <c r="I29" s="13"/>
      <c r="J29" s="13"/>
      <c r="K29" s="13"/>
      <c r="L29" s="18"/>
      <c r="M29" s="18"/>
      <c r="N29" s="18"/>
    </row>
    <row r="30" spans="1:14" ht="24.75" hidden="1" customHeight="1" x14ac:dyDescent="0.25">
      <c r="A30" s="43" t="s">
        <v>56</v>
      </c>
      <c r="B30" s="40" t="s">
        <v>100</v>
      </c>
      <c r="C30" s="178" t="s">
        <v>49</v>
      </c>
      <c r="D30" s="67">
        <v>22503</v>
      </c>
      <c r="E30" s="178" t="s">
        <v>104</v>
      </c>
      <c r="F30" s="13">
        <f t="shared" si="12"/>
        <v>0</v>
      </c>
      <c r="G30" s="13"/>
      <c r="H30" s="13"/>
      <c r="I30" s="13"/>
      <c r="J30" s="13"/>
      <c r="K30" s="13"/>
      <c r="L30" s="18"/>
      <c r="M30" s="18"/>
      <c r="N30" s="18"/>
    </row>
    <row r="31" spans="1:14" ht="32.25" hidden="1" customHeight="1" x14ac:dyDescent="0.25">
      <c r="A31" s="43" t="s">
        <v>57</v>
      </c>
      <c r="B31" s="40" t="s">
        <v>100</v>
      </c>
      <c r="C31" s="178" t="s">
        <v>49</v>
      </c>
      <c r="D31" s="67">
        <v>22504</v>
      </c>
      <c r="E31" s="178" t="s">
        <v>104</v>
      </c>
      <c r="F31" s="13">
        <f t="shared" si="12"/>
        <v>0</v>
      </c>
      <c r="G31" s="13"/>
      <c r="H31" s="13"/>
      <c r="I31" s="13"/>
      <c r="J31" s="13"/>
      <c r="K31" s="13"/>
      <c r="L31" s="18"/>
      <c r="M31" s="18"/>
      <c r="N31" s="18"/>
    </row>
    <row r="32" spans="1:14" ht="25.5" hidden="1" customHeight="1" x14ac:dyDescent="0.25">
      <c r="A32" s="42" t="s">
        <v>55</v>
      </c>
      <c r="B32" s="40" t="s">
        <v>100</v>
      </c>
      <c r="C32" s="178" t="s">
        <v>49</v>
      </c>
      <c r="D32" s="67">
        <v>22505</v>
      </c>
      <c r="E32" s="178" t="s">
        <v>104</v>
      </c>
      <c r="F32" s="13">
        <f t="shared" si="12"/>
        <v>0</v>
      </c>
      <c r="G32" s="13"/>
      <c r="H32" s="13"/>
      <c r="I32" s="13"/>
      <c r="J32" s="13"/>
      <c r="K32" s="13"/>
      <c r="L32" s="18"/>
      <c r="M32" s="18"/>
      <c r="N32" s="18"/>
    </row>
    <row r="33" spans="1:14" ht="34.5" hidden="1" customHeight="1" x14ac:dyDescent="0.25">
      <c r="A33" s="42" t="s">
        <v>22</v>
      </c>
      <c r="B33" s="40" t="s">
        <v>100</v>
      </c>
      <c r="C33" s="178" t="s">
        <v>49</v>
      </c>
      <c r="D33" s="67">
        <v>22599</v>
      </c>
      <c r="E33" s="178" t="s">
        <v>104</v>
      </c>
      <c r="F33" s="13">
        <f t="shared" si="12"/>
        <v>0</v>
      </c>
      <c r="G33" s="13"/>
      <c r="H33" s="13"/>
      <c r="I33" s="13"/>
      <c r="J33" s="13"/>
      <c r="K33" s="13"/>
      <c r="L33" s="18"/>
      <c r="M33" s="18"/>
      <c r="N33" s="18"/>
    </row>
    <row r="34" spans="1:14" ht="28.5" hidden="1" customHeight="1" x14ac:dyDescent="0.3">
      <c r="A34" s="862" t="s">
        <v>109</v>
      </c>
      <c r="B34" s="863"/>
      <c r="C34" s="863"/>
      <c r="D34" s="949">
        <v>226</v>
      </c>
      <c r="E34" s="949"/>
      <c r="F34" s="44">
        <f t="shared" si="12"/>
        <v>0</v>
      </c>
      <c r="G34" s="44">
        <f t="shared" ref="G34:K34" si="13">SUM(G35:G42)</f>
        <v>0</v>
      </c>
      <c r="H34" s="44">
        <f t="shared" si="13"/>
        <v>0</v>
      </c>
      <c r="I34" s="44">
        <f t="shared" si="13"/>
        <v>0</v>
      </c>
      <c r="J34" s="44">
        <f t="shared" si="13"/>
        <v>0</v>
      </c>
      <c r="K34" s="44">
        <f t="shared" si="13"/>
        <v>0</v>
      </c>
      <c r="L34" s="50">
        <f t="shared" ref="L34:N34" si="14">SUM(L35:L42)</f>
        <v>0</v>
      </c>
      <c r="M34" s="50">
        <f t="shared" si="14"/>
        <v>0</v>
      </c>
      <c r="N34" s="50">
        <f t="shared" si="14"/>
        <v>0</v>
      </c>
    </row>
    <row r="35" spans="1:14" ht="24" hidden="1" customHeight="1" x14ac:dyDescent="0.25">
      <c r="A35" s="43" t="s">
        <v>33</v>
      </c>
      <c r="B35" s="40" t="s">
        <v>100</v>
      </c>
      <c r="C35" s="178" t="s">
        <v>49</v>
      </c>
      <c r="D35" s="67">
        <v>22601</v>
      </c>
      <c r="E35" s="178" t="s">
        <v>110</v>
      </c>
      <c r="F35" s="13">
        <f t="shared" si="12"/>
        <v>0</v>
      </c>
      <c r="G35" s="13"/>
      <c r="H35" s="13"/>
      <c r="I35" s="13"/>
      <c r="J35" s="13"/>
      <c r="K35" s="13"/>
      <c r="L35" s="18"/>
      <c r="M35" s="18"/>
      <c r="N35" s="18"/>
    </row>
    <row r="36" spans="1:14" ht="31.5" hidden="1" customHeight="1" x14ac:dyDescent="0.25">
      <c r="A36" s="42" t="s">
        <v>111</v>
      </c>
      <c r="B36" s="40" t="s">
        <v>100</v>
      </c>
      <c r="C36" s="178" t="s">
        <v>50</v>
      </c>
      <c r="D36" s="67">
        <v>22602</v>
      </c>
      <c r="E36" s="178" t="s">
        <v>110</v>
      </c>
      <c r="F36" s="13">
        <f t="shared" si="12"/>
        <v>0</v>
      </c>
      <c r="G36" s="13"/>
      <c r="H36" s="13"/>
      <c r="I36" s="13"/>
      <c r="J36" s="13"/>
      <c r="K36" s="13"/>
      <c r="L36" s="18"/>
      <c r="M36" s="18"/>
      <c r="N36" s="18"/>
    </row>
    <row r="37" spans="1:14" ht="34.5" hidden="1" customHeight="1" x14ac:dyDescent="0.25">
      <c r="A37" s="42" t="s">
        <v>114</v>
      </c>
      <c r="B37" s="40" t="s">
        <v>100</v>
      </c>
      <c r="C37" s="178" t="s">
        <v>115</v>
      </c>
      <c r="D37" s="67">
        <v>22602</v>
      </c>
      <c r="E37" s="178" t="s">
        <v>110</v>
      </c>
      <c r="F37" s="13">
        <f t="shared" si="12"/>
        <v>0</v>
      </c>
      <c r="G37" s="13"/>
      <c r="H37" s="13"/>
      <c r="I37" s="13"/>
      <c r="J37" s="13"/>
      <c r="K37" s="13"/>
      <c r="L37" s="18"/>
      <c r="M37" s="18"/>
      <c r="N37" s="18"/>
    </row>
    <row r="38" spans="1:14" ht="22.5" hidden="1" customHeight="1" x14ac:dyDescent="0.25">
      <c r="A38" s="42" t="s">
        <v>23</v>
      </c>
      <c r="B38" s="40" t="s">
        <v>100</v>
      </c>
      <c r="C38" s="178" t="s">
        <v>49</v>
      </c>
      <c r="D38" s="67">
        <v>22603</v>
      </c>
      <c r="E38" s="178" t="s">
        <v>110</v>
      </c>
      <c r="F38" s="13">
        <f t="shared" si="12"/>
        <v>0</v>
      </c>
      <c r="G38" s="13"/>
      <c r="H38" s="13"/>
      <c r="I38" s="13"/>
      <c r="J38" s="13"/>
      <c r="K38" s="13"/>
      <c r="L38" s="18"/>
      <c r="M38" s="18"/>
      <c r="N38" s="18"/>
    </row>
    <row r="39" spans="1:14" ht="34.5" hidden="1" customHeight="1" x14ac:dyDescent="0.25">
      <c r="A39" s="42" t="s">
        <v>24</v>
      </c>
      <c r="B39" s="40" t="s">
        <v>100</v>
      </c>
      <c r="C39" s="178" t="s">
        <v>49</v>
      </c>
      <c r="D39" s="67">
        <v>22605</v>
      </c>
      <c r="E39" s="178" t="s">
        <v>110</v>
      </c>
      <c r="F39" s="13">
        <f t="shared" si="12"/>
        <v>0</v>
      </c>
      <c r="G39" s="13"/>
      <c r="H39" s="13"/>
      <c r="I39" s="13"/>
      <c r="J39" s="13"/>
      <c r="K39" s="13"/>
      <c r="L39" s="18"/>
      <c r="M39" s="18"/>
      <c r="N39" s="18"/>
    </row>
    <row r="40" spans="1:14" ht="51" hidden="1" customHeight="1" x14ac:dyDescent="0.25">
      <c r="A40" s="42" t="s">
        <v>116</v>
      </c>
      <c r="B40" s="40" t="s">
        <v>100</v>
      </c>
      <c r="C40" s="178" t="s">
        <v>50</v>
      </c>
      <c r="D40" s="67">
        <v>22606</v>
      </c>
      <c r="E40" s="178" t="s">
        <v>110</v>
      </c>
      <c r="F40" s="13">
        <f t="shared" si="12"/>
        <v>0</v>
      </c>
      <c r="G40" s="13"/>
      <c r="H40" s="13"/>
      <c r="I40" s="13"/>
      <c r="J40" s="13"/>
      <c r="K40" s="13"/>
      <c r="L40" s="18"/>
      <c r="M40" s="18"/>
      <c r="N40" s="18"/>
    </row>
    <row r="41" spans="1:14" ht="49.5" hidden="1" customHeight="1" x14ac:dyDescent="0.25">
      <c r="A41" s="42" t="s">
        <v>117</v>
      </c>
      <c r="B41" s="40" t="s">
        <v>100</v>
      </c>
      <c r="C41" s="178" t="s">
        <v>50</v>
      </c>
      <c r="D41" s="67">
        <v>22699</v>
      </c>
      <c r="E41" s="178" t="s">
        <v>110</v>
      </c>
      <c r="F41" s="13">
        <f t="shared" si="12"/>
        <v>0</v>
      </c>
      <c r="G41" s="13"/>
      <c r="H41" s="13"/>
      <c r="I41" s="13"/>
      <c r="J41" s="13"/>
      <c r="K41" s="13"/>
      <c r="L41" s="18"/>
      <c r="M41" s="18"/>
      <c r="N41" s="18"/>
    </row>
    <row r="42" spans="1:14" ht="32.25" hidden="1" customHeight="1" x14ac:dyDescent="0.25">
      <c r="A42" s="42" t="s">
        <v>25</v>
      </c>
      <c r="B42" s="40" t="s">
        <v>100</v>
      </c>
      <c r="C42" s="178" t="s">
        <v>49</v>
      </c>
      <c r="D42" s="67">
        <v>22699</v>
      </c>
      <c r="E42" s="178" t="s">
        <v>110</v>
      </c>
      <c r="F42" s="13">
        <f t="shared" si="12"/>
        <v>0</v>
      </c>
      <c r="G42" s="13"/>
      <c r="H42" s="13"/>
      <c r="I42" s="13"/>
      <c r="J42" s="13"/>
      <c r="K42" s="13"/>
      <c r="L42" s="18"/>
      <c r="M42" s="18"/>
      <c r="N42" s="18"/>
    </row>
    <row r="43" spans="1:14" ht="28.5" hidden="1" customHeight="1" x14ac:dyDescent="0.3">
      <c r="A43" s="872" t="s">
        <v>499</v>
      </c>
      <c r="B43" s="873"/>
      <c r="C43" s="873"/>
      <c r="D43" s="947">
        <v>26300</v>
      </c>
      <c r="E43" s="947"/>
      <c r="F43" s="45">
        <f t="shared" ref="F43" si="15">SUM(F44)</f>
        <v>0</v>
      </c>
      <c r="G43" s="45">
        <f t="shared" ref="G43:J43" si="16">G44</f>
        <v>0</v>
      </c>
      <c r="H43" s="45">
        <f t="shared" si="16"/>
        <v>0</v>
      </c>
      <c r="I43" s="45">
        <f t="shared" si="16"/>
        <v>0</v>
      </c>
      <c r="J43" s="45">
        <f t="shared" si="16"/>
        <v>0</v>
      </c>
      <c r="K43" s="45">
        <f t="shared" ref="K43:L43" si="17">SUM(K44)</f>
        <v>0</v>
      </c>
      <c r="L43" s="46">
        <f t="shared" si="17"/>
        <v>0</v>
      </c>
      <c r="M43" s="46">
        <f t="shared" ref="M43:N43" si="18">SUM(M44)</f>
        <v>0</v>
      </c>
      <c r="N43" s="46">
        <f t="shared" si="18"/>
        <v>0</v>
      </c>
    </row>
    <row r="44" spans="1:14" ht="21.75" hidden="1" customHeight="1" x14ac:dyDescent="0.25">
      <c r="A44" s="42" t="s">
        <v>500</v>
      </c>
      <c r="B44" s="40" t="s">
        <v>100</v>
      </c>
      <c r="C44" s="178" t="s">
        <v>281</v>
      </c>
      <c r="D44" s="67">
        <v>26300</v>
      </c>
      <c r="E44" s="178" t="s">
        <v>501</v>
      </c>
      <c r="F44" s="13">
        <f>SUM(G44:K44)</f>
        <v>0</v>
      </c>
      <c r="G44" s="13"/>
      <c r="H44" s="13"/>
      <c r="I44" s="13"/>
      <c r="J44" s="13"/>
      <c r="K44" s="13"/>
      <c r="L44" s="18"/>
      <c r="M44" s="18"/>
      <c r="N44" s="18"/>
    </row>
    <row r="45" spans="1:14" ht="28.5" hidden="1" customHeight="1" x14ac:dyDescent="0.3">
      <c r="A45" s="872" t="s">
        <v>121</v>
      </c>
      <c r="B45" s="873"/>
      <c r="C45" s="873"/>
      <c r="D45" s="947">
        <v>266</v>
      </c>
      <c r="E45" s="947"/>
      <c r="F45" s="45">
        <f>SUM(G45:K45)</f>
        <v>0</v>
      </c>
      <c r="G45" s="45">
        <f t="shared" ref="G45:K45" si="19">SUM(G46:G48)</f>
        <v>0</v>
      </c>
      <c r="H45" s="45">
        <f t="shared" si="19"/>
        <v>0</v>
      </c>
      <c r="I45" s="45">
        <f t="shared" si="19"/>
        <v>0</v>
      </c>
      <c r="J45" s="45">
        <f t="shared" si="19"/>
        <v>0</v>
      </c>
      <c r="K45" s="45">
        <f t="shared" si="19"/>
        <v>0</v>
      </c>
      <c r="L45" s="46">
        <f t="shared" ref="L45" si="20">SUM(L46:L48)</f>
        <v>0</v>
      </c>
      <c r="M45" s="46">
        <f t="shared" ref="M45:N45" si="21">SUM(M46:M48)</f>
        <v>0</v>
      </c>
      <c r="N45" s="46">
        <f t="shared" si="21"/>
        <v>0</v>
      </c>
    </row>
    <row r="46" spans="1:14" ht="39.75" hidden="1" customHeight="1" x14ac:dyDescent="0.25">
      <c r="A46" s="42" t="s">
        <v>118</v>
      </c>
      <c r="B46" s="40" t="s">
        <v>96</v>
      </c>
      <c r="C46" s="178" t="s">
        <v>47</v>
      </c>
      <c r="D46" s="67">
        <v>26600</v>
      </c>
      <c r="E46" s="178" t="s">
        <v>91</v>
      </c>
      <c r="F46" s="13">
        <f>SUM(G46:K46)</f>
        <v>0</v>
      </c>
      <c r="G46" s="13"/>
      <c r="H46" s="13"/>
      <c r="I46" s="13"/>
      <c r="J46" s="13"/>
      <c r="K46" s="13"/>
      <c r="L46" s="18"/>
      <c r="M46" s="18"/>
      <c r="N46" s="18"/>
    </row>
    <row r="47" spans="1:14" ht="36.75" hidden="1" customHeight="1" x14ac:dyDescent="0.25">
      <c r="A47" s="42" t="s">
        <v>119</v>
      </c>
      <c r="B47" s="40" t="s">
        <v>100</v>
      </c>
      <c r="C47" s="178" t="s">
        <v>50</v>
      </c>
      <c r="D47" s="67">
        <v>26601</v>
      </c>
      <c r="E47" s="178" t="s">
        <v>91</v>
      </c>
      <c r="F47" s="13">
        <f>SUM(G47:K47)</f>
        <v>0</v>
      </c>
      <c r="G47" s="13"/>
      <c r="H47" s="13"/>
      <c r="I47" s="13"/>
      <c r="J47" s="13"/>
      <c r="K47" s="13"/>
      <c r="L47" s="18"/>
      <c r="M47" s="18"/>
      <c r="N47" s="18"/>
    </row>
    <row r="48" spans="1:14" ht="52.5" hidden="1" customHeight="1" x14ac:dyDescent="0.25">
      <c r="A48" s="42" t="s">
        <v>120</v>
      </c>
      <c r="B48" s="40" t="s">
        <v>99</v>
      </c>
      <c r="C48" s="178" t="s">
        <v>50</v>
      </c>
      <c r="D48" s="67">
        <v>26602</v>
      </c>
      <c r="E48" s="178" t="s">
        <v>91</v>
      </c>
      <c r="F48" s="13">
        <f>SUM(G48:K48)</f>
        <v>0</v>
      </c>
      <c r="G48" s="13"/>
      <c r="H48" s="13"/>
      <c r="I48" s="13"/>
      <c r="J48" s="13"/>
      <c r="K48" s="13"/>
      <c r="L48" s="18"/>
      <c r="M48" s="18"/>
      <c r="N48" s="18"/>
    </row>
    <row r="49" spans="1:14" s="1" customFormat="1" ht="26.25" hidden="1" customHeight="1" x14ac:dyDescent="0.3">
      <c r="A49" s="872" t="s">
        <v>31</v>
      </c>
      <c r="B49" s="873"/>
      <c r="C49" s="873"/>
      <c r="D49" s="947">
        <v>290</v>
      </c>
      <c r="E49" s="947"/>
      <c r="F49" s="45">
        <f>SUM(F50:F56)</f>
        <v>0</v>
      </c>
      <c r="G49" s="45">
        <f t="shared" ref="G49:K49" si="22">SUM(G50:G56)</f>
        <v>0</v>
      </c>
      <c r="H49" s="45">
        <f t="shared" si="22"/>
        <v>0</v>
      </c>
      <c r="I49" s="45">
        <f t="shared" si="22"/>
        <v>0</v>
      </c>
      <c r="J49" s="45">
        <f t="shared" si="22"/>
        <v>0</v>
      </c>
      <c r="K49" s="45">
        <f t="shared" si="22"/>
        <v>0</v>
      </c>
      <c r="L49" s="46">
        <f t="shared" ref="L49" si="23">SUM(L50:L56)</f>
        <v>0</v>
      </c>
      <c r="M49" s="46">
        <f t="shared" ref="M49:N49" si="24">SUM(M50:M56)</f>
        <v>0</v>
      </c>
      <c r="N49" s="46">
        <f t="shared" si="24"/>
        <v>0</v>
      </c>
    </row>
    <row r="50" spans="1:14" ht="30.75" hidden="1" customHeight="1" x14ac:dyDescent="0.25">
      <c r="A50" s="27" t="s">
        <v>513</v>
      </c>
      <c r="B50" s="40" t="s">
        <v>100</v>
      </c>
      <c r="C50" s="950" t="s">
        <v>51</v>
      </c>
      <c r="D50" s="67">
        <v>29101</v>
      </c>
      <c r="E50" s="950" t="s">
        <v>123</v>
      </c>
      <c r="F50" s="13">
        <f t="shared" ref="F50:F56" si="25">SUM(G50:K50)</f>
        <v>0</v>
      </c>
      <c r="G50" s="13"/>
      <c r="H50" s="13"/>
      <c r="I50" s="13"/>
      <c r="J50" s="13"/>
      <c r="K50" s="13"/>
      <c r="L50" s="18"/>
      <c r="M50" s="18"/>
      <c r="N50" s="18"/>
    </row>
    <row r="51" spans="1:14" ht="30.75" hidden="1" customHeight="1" x14ac:dyDescent="0.25">
      <c r="A51" s="27" t="s">
        <v>514</v>
      </c>
      <c r="B51" s="40" t="s">
        <v>100</v>
      </c>
      <c r="C51" s="950"/>
      <c r="D51" s="67">
        <v>29102</v>
      </c>
      <c r="E51" s="950"/>
      <c r="F51" s="13">
        <f t="shared" si="25"/>
        <v>0</v>
      </c>
      <c r="G51" s="13"/>
      <c r="H51" s="13"/>
      <c r="I51" s="13"/>
      <c r="J51" s="13"/>
      <c r="K51" s="13"/>
      <c r="L51" s="18"/>
      <c r="M51" s="18"/>
      <c r="N51" s="18"/>
    </row>
    <row r="52" spans="1:14" ht="30.75" hidden="1" customHeight="1" x14ac:dyDescent="0.25">
      <c r="A52" s="27" t="s">
        <v>542</v>
      </c>
      <c r="B52" s="40" t="s">
        <v>100</v>
      </c>
      <c r="C52" s="178" t="s">
        <v>52</v>
      </c>
      <c r="D52" s="67">
        <v>29104</v>
      </c>
      <c r="E52" s="178" t="s">
        <v>123</v>
      </c>
      <c r="F52" s="13">
        <f t="shared" si="25"/>
        <v>0</v>
      </c>
      <c r="G52" s="13"/>
      <c r="H52" s="13"/>
      <c r="I52" s="13"/>
      <c r="J52" s="13"/>
      <c r="K52" s="13"/>
      <c r="L52" s="18"/>
      <c r="M52" s="18"/>
      <c r="N52" s="18"/>
    </row>
    <row r="53" spans="1:14" ht="31.5" hidden="1" customHeight="1" x14ac:dyDescent="0.25">
      <c r="A53" s="58" t="s">
        <v>125</v>
      </c>
      <c r="B53" s="40" t="s">
        <v>100</v>
      </c>
      <c r="C53" s="178" t="s">
        <v>53</v>
      </c>
      <c r="D53" s="67">
        <v>29001</v>
      </c>
      <c r="E53" s="178" t="s">
        <v>127</v>
      </c>
      <c r="F53" s="13">
        <f t="shared" si="25"/>
        <v>0</v>
      </c>
      <c r="G53" s="13"/>
      <c r="H53" s="13"/>
      <c r="I53" s="13"/>
      <c r="J53" s="13"/>
      <c r="K53" s="13"/>
      <c r="L53" s="18"/>
      <c r="M53" s="18"/>
      <c r="N53" s="18"/>
    </row>
    <row r="54" spans="1:14" ht="38.25" hidden="1" customHeight="1" x14ac:dyDescent="0.25">
      <c r="A54" s="58" t="s">
        <v>126</v>
      </c>
      <c r="B54" s="40" t="s">
        <v>100</v>
      </c>
      <c r="C54" s="178" t="s">
        <v>53</v>
      </c>
      <c r="D54" s="67">
        <v>29001</v>
      </c>
      <c r="E54" s="178" t="s">
        <v>128</v>
      </c>
      <c r="F54" s="13">
        <f t="shared" si="25"/>
        <v>0</v>
      </c>
      <c r="G54" s="13"/>
      <c r="H54" s="13"/>
      <c r="I54" s="13"/>
      <c r="J54" s="13"/>
      <c r="K54" s="13"/>
      <c r="L54" s="18"/>
      <c r="M54" s="18"/>
      <c r="N54" s="18"/>
    </row>
    <row r="55" spans="1:14" ht="34.5" hidden="1" customHeight="1" x14ac:dyDescent="0.25">
      <c r="A55" s="59" t="s">
        <v>130</v>
      </c>
      <c r="B55" s="40" t="s">
        <v>100</v>
      </c>
      <c r="C55" s="178" t="s">
        <v>53</v>
      </c>
      <c r="D55" s="67">
        <v>29001</v>
      </c>
      <c r="E55" s="178" t="s">
        <v>129</v>
      </c>
      <c r="F55" s="13">
        <f t="shared" si="25"/>
        <v>0</v>
      </c>
      <c r="G55" s="13"/>
      <c r="H55" s="13"/>
      <c r="I55" s="13"/>
      <c r="J55" s="13"/>
      <c r="K55" s="13"/>
      <c r="L55" s="18"/>
      <c r="M55" s="18"/>
      <c r="N55" s="18"/>
    </row>
    <row r="56" spans="1:14" ht="34.5" hidden="1" customHeight="1" x14ac:dyDescent="0.25">
      <c r="A56" s="59" t="s">
        <v>130</v>
      </c>
      <c r="B56" s="40" t="s">
        <v>100</v>
      </c>
      <c r="C56" s="178" t="s">
        <v>53</v>
      </c>
      <c r="D56" s="67">
        <v>29099</v>
      </c>
      <c r="E56" s="178" t="s">
        <v>624</v>
      </c>
      <c r="F56" s="13">
        <f t="shared" si="25"/>
        <v>0</v>
      </c>
      <c r="G56" s="13"/>
      <c r="H56" s="13"/>
      <c r="I56" s="13"/>
      <c r="J56" s="13"/>
      <c r="K56" s="13"/>
      <c r="L56" s="18"/>
      <c r="M56" s="18"/>
      <c r="N56" s="18"/>
    </row>
    <row r="57" spans="1:14" ht="36" hidden="1" customHeight="1" x14ac:dyDescent="0.3">
      <c r="A57" s="872" t="s">
        <v>131</v>
      </c>
      <c r="B57" s="873"/>
      <c r="C57" s="873"/>
      <c r="D57" s="948">
        <v>300</v>
      </c>
      <c r="E57" s="948"/>
      <c r="F57" s="45">
        <f>F58+F63</f>
        <v>0</v>
      </c>
      <c r="G57" s="45">
        <f t="shared" ref="G57:K57" si="26">G58+G63</f>
        <v>0</v>
      </c>
      <c r="H57" s="45">
        <f t="shared" si="26"/>
        <v>0</v>
      </c>
      <c r="I57" s="45">
        <f t="shared" si="26"/>
        <v>0</v>
      </c>
      <c r="J57" s="45">
        <f t="shared" si="26"/>
        <v>0</v>
      </c>
      <c r="K57" s="45">
        <f t="shared" si="26"/>
        <v>0</v>
      </c>
      <c r="L57" s="46">
        <f t="shared" ref="L57:N57" si="27">L58+L63</f>
        <v>0</v>
      </c>
      <c r="M57" s="46">
        <f t="shared" si="27"/>
        <v>0</v>
      </c>
      <c r="N57" s="46">
        <f t="shared" si="27"/>
        <v>0</v>
      </c>
    </row>
    <row r="58" spans="1:14" ht="30.75" hidden="1" customHeight="1" x14ac:dyDescent="0.3">
      <c r="A58" s="862" t="s">
        <v>13</v>
      </c>
      <c r="B58" s="863"/>
      <c r="C58" s="863"/>
      <c r="D58" s="949">
        <v>310</v>
      </c>
      <c r="E58" s="949"/>
      <c r="F58" s="44">
        <f>SUM(G58:K58)</f>
        <v>0</v>
      </c>
      <c r="G58" s="44">
        <f>SUM(G59:G62)</f>
        <v>0</v>
      </c>
      <c r="H58" s="44">
        <f>SUM(H59:H62)</f>
        <v>0</v>
      </c>
      <c r="I58" s="44">
        <f>SUM(I59:I62)</f>
        <v>0</v>
      </c>
      <c r="J58" s="44">
        <f>SUM(J59:J62)</f>
        <v>0</v>
      </c>
      <c r="K58" s="44">
        <f t="shared" ref="K58:L58" si="28">SUM(K59:K62)</f>
        <v>0</v>
      </c>
      <c r="L58" s="50">
        <f t="shared" si="28"/>
        <v>0</v>
      </c>
      <c r="M58" s="50">
        <f t="shared" ref="M58:N58" si="29">SUM(M59:M62)</f>
        <v>0</v>
      </c>
      <c r="N58" s="50">
        <f t="shared" si="29"/>
        <v>0</v>
      </c>
    </row>
    <row r="59" spans="1:14" ht="27.75" hidden="1" customHeight="1" x14ac:dyDescent="0.25">
      <c r="A59" s="16" t="s">
        <v>132</v>
      </c>
      <c r="B59" s="40" t="s">
        <v>133</v>
      </c>
      <c r="C59" s="178" t="s">
        <v>49</v>
      </c>
      <c r="D59" s="67">
        <v>31003</v>
      </c>
      <c r="E59" s="178" t="s">
        <v>61</v>
      </c>
      <c r="F59" s="13">
        <f>SUM(G59:K59)</f>
        <v>0</v>
      </c>
      <c r="G59" s="13"/>
      <c r="H59" s="13"/>
      <c r="I59" s="13"/>
      <c r="J59" s="13"/>
      <c r="K59" s="13"/>
      <c r="L59" s="18"/>
      <c r="M59" s="18"/>
      <c r="N59" s="18"/>
    </row>
    <row r="60" spans="1:14" ht="25.5" hidden="1" customHeight="1" x14ac:dyDescent="0.25">
      <c r="A60" s="16" t="s">
        <v>6</v>
      </c>
      <c r="B60" s="40" t="s">
        <v>133</v>
      </c>
      <c r="C60" s="178" t="s">
        <v>49</v>
      </c>
      <c r="D60" s="67">
        <v>31004</v>
      </c>
      <c r="E60" s="178" t="s">
        <v>61</v>
      </c>
      <c r="F60" s="13">
        <f>SUM(G60:K60)</f>
        <v>0</v>
      </c>
      <c r="G60" s="13"/>
      <c r="H60" s="13"/>
      <c r="I60" s="13"/>
      <c r="J60" s="13"/>
      <c r="K60" s="13"/>
      <c r="L60" s="18"/>
      <c r="M60" s="18"/>
      <c r="N60" s="18"/>
    </row>
    <row r="61" spans="1:14" ht="28.5" hidden="1" customHeight="1" x14ac:dyDescent="0.25">
      <c r="A61" s="16" t="s">
        <v>7</v>
      </c>
      <c r="B61" s="40" t="s">
        <v>133</v>
      </c>
      <c r="C61" s="178" t="s">
        <v>49</v>
      </c>
      <c r="D61" s="67">
        <v>31005</v>
      </c>
      <c r="E61" s="178" t="s">
        <v>61</v>
      </c>
      <c r="F61" s="13">
        <f>SUM(G61:K61)</f>
        <v>0</v>
      </c>
      <c r="G61" s="13"/>
      <c r="H61" s="13"/>
      <c r="I61" s="13"/>
      <c r="J61" s="13"/>
      <c r="K61" s="13"/>
      <c r="L61" s="18"/>
      <c r="M61" s="18"/>
      <c r="N61" s="18"/>
    </row>
    <row r="62" spans="1:14" ht="36.75" hidden="1" customHeight="1" x14ac:dyDescent="0.25">
      <c r="A62" s="16" t="s">
        <v>8</v>
      </c>
      <c r="B62" s="40" t="s">
        <v>133</v>
      </c>
      <c r="C62" s="178" t="s">
        <v>49</v>
      </c>
      <c r="D62" s="67">
        <v>31099</v>
      </c>
      <c r="E62" s="178" t="s">
        <v>61</v>
      </c>
      <c r="F62" s="13">
        <f>SUM(G62:K62)</f>
        <v>0</v>
      </c>
      <c r="G62" s="13"/>
      <c r="H62" s="13"/>
      <c r="I62" s="13"/>
      <c r="J62" s="13"/>
      <c r="K62" s="13"/>
      <c r="L62" s="18"/>
      <c r="M62" s="18"/>
      <c r="N62" s="18"/>
    </row>
    <row r="63" spans="1:14" ht="39.75" hidden="1" customHeight="1" x14ac:dyDescent="0.3">
      <c r="A63" s="862" t="s">
        <v>14</v>
      </c>
      <c r="B63" s="863"/>
      <c r="C63" s="863"/>
      <c r="D63" s="949">
        <v>340</v>
      </c>
      <c r="E63" s="949"/>
      <c r="F63" s="44">
        <f>F64+F65+F66+F67+F68+F69</f>
        <v>0</v>
      </c>
      <c r="G63" s="44">
        <f t="shared" ref="G63:K63" si="30">G64+G65+G66+G67+G68+G69</f>
        <v>0</v>
      </c>
      <c r="H63" s="44">
        <f t="shared" si="30"/>
        <v>0</v>
      </c>
      <c r="I63" s="44">
        <f t="shared" si="30"/>
        <v>0</v>
      </c>
      <c r="J63" s="44">
        <f t="shared" si="30"/>
        <v>0</v>
      </c>
      <c r="K63" s="44">
        <f t="shared" si="30"/>
        <v>0</v>
      </c>
      <c r="L63" s="50">
        <f t="shared" ref="L63:N63" si="31">L64+L65+L66+L67+L68+L69</f>
        <v>0</v>
      </c>
      <c r="M63" s="50">
        <f t="shared" si="31"/>
        <v>0</v>
      </c>
      <c r="N63" s="50">
        <f t="shared" si="31"/>
        <v>0</v>
      </c>
    </row>
    <row r="64" spans="1:14" ht="31.5" hidden="1" customHeight="1" x14ac:dyDescent="0.25">
      <c r="A64" s="42" t="s">
        <v>3</v>
      </c>
      <c r="B64" s="40" t="s">
        <v>100</v>
      </c>
      <c r="C64" s="178" t="s">
        <v>49</v>
      </c>
      <c r="D64" s="67">
        <v>34001</v>
      </c>
      <c r="E64" s="178" t="s">
        <v>82</v>
      </c>
      <c r="F64" s="13">
        <f>SUM(G64:K64)</f>
        <v>0</v>
      </c>
      <c r="G64" s="13"/>
      <c r="H64" s="13"/>
      <c r="I64" s="13"/>
      <c r="J64" s="13"/>
      <c r="K64" s="13"/>
      <c r="L64" s="18"/>
      <c r="M64" s="18"/>
      <c r="N64" s="18"/>
    </row>
    <row r="65" spans="1:14" ht="24.75" hidden="1" customHeight="1" x14ac:dyDescent="0.25">
      <c r="A65" s="42" t="s">
        <v>1</v>
      </c>
      <c r="B65" s="40" t="s">
        <v>100</v>
      </c>
      <c r="C65" s="178" t="s">
        <v>49</v>
      </c>
      <c r="D65" s="67">
        <v>34002</v>
      </c>
      <c r="E65" s="178" t="s">
        <v>83</v>
      </c>
      <c r="F65" s="13">
        <f>SUM(G65:K65)</f>
        <v>0</v>
      </c>
      <c r="G65" s="13"/>
      <c r="H65" s="13"/>
      <c r="I65" s="13"/>
      <c r="J65" s="13"/>
      <c r="K65" s="13"/>
      <c r="L65" s="18"/>
      <c r="M65" s="18"/>
      <c r="N65" s="18"/>
    </row>
    <row r="66" spans="1:14" ht="24.75" hidden="1" customHeight="1" x14ac:dyDescent="0.25">
      <c r="A66" s="42" t="s">
        <v>134</v>
      </c>
      <c r="B66" s="40" t="s">
        <v>135</v>
      </c>
      <c r="C66" s="178" t="s">
        <v>49</v>
      </c>
      <c r="D66" s="67">
        <v>34002</v>
      </c>
      <c r="E66" s="178" t="s">
        <v>83</v>
      </c>
      <c r="F66" s="13">
        <f>SUM(G66:K66)</f>
        <v>0</v>
      </c>
      <c r="G66" s="13"/>
      <c r="H66" s="13"/>
      <c r="I66" s="13"/>
      <c r="J66" s="13"/>
      <c r="K66" s="13"/>
      <c r="L66" s="18"/>
      <c r="M66" s="18"/>
      <c r="N66" s="18"/>
    </row>
    <row r="67" spans="1:14" ht="23.25" hidden="1" customHeight="1" x14ac:dyDescent="0.25">
      <c r="A67" s="42" t="s">
        <v>27</v>
      </c>
      <c r="B67" s="40" t="s">
        <v>100</v>
      </c>
      <c r="C67" s="178" t="s">
        <v>49</v>
      </c>
      <c r="D67" s="67">
        <v>34003</v>
      </c>
      <c r="E67" s="178" t="s">
        <v>84</v>
      </c>
      <c r="F67" s="13">
        <f>SUM(G67:K67)</f>
        <v>0</v>
      </c>
      <c r="G67" s="13"/>
      <c r="H67" s="13"/>
      <c r="I67" s="13"/>
      <c r="J67" s="13"/>
      <c r="K67" s="13"/>
      <c r="L67" s="18"/>
      <c r="M67" s="18"/>
      <c r="N67" s="18"/>
    </row>
    <row r="68" spans="1:14" ht="24" hidden="1" customHeight="1" x14ac:dyDescent="0.25">
      <c r="A68" s="42" t="s">
        <v>28</v>
      </c>
      <c r="B68" s="40" t="s">
        <v>100</v>
      </c>
      <c r="C68" s="178" t="s">
        <v>49</v>
      </c>
      <c r="D68" s="67">
        <v>34004</v>
      </c>
      <c r="E68" s="178" t="s">
        <v>85</v>
      </c>
      <c r="F68" s="13">
        <f>SUM(G68:K68)</f>
        <v>0</v>
      </c>
      <c r="G68" s="13"/>
      <c r="H68" s="13"/>
      <c r="I68" s="13"/>
      <c r="J68" s="13"/>
      <c r="K68" s="13"/>
      <c r="L68" s="18"/>
      <c r="M68" s="18"/>
      <c r="N68" s="18"/>
    </row>
    <row r="69" spans="1:14" ht="31.5" hidden="1" customHeight="1" x14ac:dyDescent="0.25">
      <c r="A69" s="951" t="s">
        <v>29</v>
      </c>
      <c r="B69" s="952"/>
      <c r="C69" s="952"/>
      <c r="D69" s="953">
        <v>34099</v>
      </c>
      <c r="E69" s="953"/>
      <c r="F69" s="32">
        <f>SUM(F70:F72)</f>
        <v>0</v>
      </c>
      <c r="G69" s="32">
        <f t="shared" ref="G69:K69" si="32">SUM(G70:G72)</f>
        <v>0</v>
      </c>
      <c r="H69" s="32">
        <f t="shared" si="32"/>
        <v>0</v>
      </c>
      <c r="I69" s="32">
        <f t="shared" si="32"/>
        <v>0</v>
      </c>
      <c r="J69" s="32">
        <f t="shared" si="32"/>
        <v>0</v>
      </c>
      <c r="K69" s="32">
        <f t="shared" si="32"/>
        <v>0</v>
      </c>
      <c r="L69" s="55">
        <f t="shared" ref="L69:N69" si="33">SUM(L70:L72)</f>
        <v>0</v>
      </c>
      <c r="M69" s="55">
        <f t="shared" si="33"/>
        <v>0</v>
      </c>
      <c r="N69" s="55">
        <f t="shared" si="33"/>
        <v>0</v>
      </c>
    </row>
    <row r="70" spans="1:14" ht="30" hidden="1" customHeight="1" x14ac:dyDescent="0.25">
      <c r="A70" s="42" t="s">
        <v>136</v>
      </c>
      <c r="B70" s="40" t="s">
        <v>100</v>
      </c>
      <c r="C70" s="178" t="s">
        <v>49</v>
      </c>
      <c r="D70" s="67">
        <v>34099</v>
      </c>
      <c r="E70" s="178" t="s">
        <v>137</v>
      </c>
      <c r="F70" s="13">
        <f>SUM(G70:K70)</f>
        <v>0</v>
      </c>
      <c r="G70" s="13"/>
      <c r="H70" s="13"/>
      <c r="I70" s="13"/>
      <c r="J70" s="13"/>
      <c r="K70" s="13"/>
      <c r="L70" s="18"/>
      <c r="M70" s="18"/>
      <c r="N70" s="18"/>
    </row>
    <row r="71" spans="1:14" ht="30" hidden="1" customHeight="1" x14ac:dyDescent="0.25">
      <c r="A71" s="42" t="s">
        <v>138</v>
      </c>
      <c r="B71" s="40" t="s">
        <v>100</v>
      </c>
      <c r="C71" s="178" t="s">
        <v>49</v>
      </c>
      <c r="D71" s="67">
        <v>34099</v>
      </c>
      <c r="E71" s="178" t="s">
        <v>86</v>
      </c>
      <c r="F71" s="13">
        <f>SUM(G71:K71)</f>
        <v>0</v>
      </c>
      <c r="G71" s="13"/>
      <c r="H71" s="13"/>
      <c r="I71" s="13"/>
      <c r="J71" s="13"/>
      <c r="K71" s="13"/>
      <c r="L71" s="18"/>
      <c r="M71" s="18"/>
      <c r="N71" s="18"/>
    </row>
    <row r="72" spans="1:14" ht="32.25" hidden="1" customHeight="1" thickBot="1" x14ac:dyDescent="0.3">
      <c r="A72" s="60" t="s">
        <v>88</v>
      </c>
      <c r="B72" s="61" t="s">
        <v>100</v>
      </c>
      <c r="C72" s="126" t="s">
        <v>49</v>
      </c>
      <c r="D72" s="62">
        <v>34099</v>
      </c>
      <c r="E72" s="126" t="s">
        <v>87</v>
      </c>
      <c r="F72" s="15">
        <f>SUM(G72:K72)</f>
        <v>0</v>
      </c>
      <c r="G72" s="15"/>
      <c r="H72" s="15"/>
      <c r="I72" s="15"/>
      <c r="J72" s="15"/>
      <c r="K72" s="15"/>
      <c r="L72" s="19"/>
      <c r="M72" s="19"/>
      <c r="N72" s="19"/>
    </row>
    <row r="73" spans="1:14" ht="31.5" customHeight="1" thickBot="1" x14ac:dyDescent="0.35">
      <c r="A73" s="944" t="s">
        <v>498</v>
      </c>
      <c r="B73" s="945"/>
      <c r="C73" s="945"/>
      <c r="D73" s="945"/>
      <c r="E73" s="946"/>
      <c r="F73" s="172">
        <f>F21+F22+F23+F27+F35+F38+F39+F42+F57</f>
        <v>0</v>
      </c>
      <c r="G73" s="4"/>
      <c r="H73" s="4"/>
      <c r="I73" s="4"/>
      <c r="J73" s="4"/>
      <c r="K73" s="4"/>
      <c r="L73" s="4"/>
      <c r="M73" s="4"/>
      <c r="N73" s="4"/>
    </row>
    <row r="74" spans="1:14" ht="8.25" customHeight="1" x14ac:dyDescent="0.2">
      <c r="A74" s="5"/>
      <c r="B74" s="7"/>
      <c r="C74" s="7"/>
      <c r="D74" s="3"/>
      <c r="E74" s="3"/>
      <c r="F74" s="4"/>
      <c r="G74" s="4"/>
      <c r="H74" s="4"/>
      <c r="I74" s="4"/>
      <c r="J74" s="4"/>
      <c r="K74" s="4"/>
      <c r="L74" s="4"/>
      <c r="M74" s="4"/>
      <c r="N74" s="4"/>
    </row>
    <row r="75" spans="1:14" s="12" customFormat="1" ht="15.75" customHeight="1" x14ac:dyDescent="0.25">
      <c r="A75" s="21"/>
      <c r="B75" s="11"/>
      <c r="C75" s="10"/>
      <c r="D75" s="11"/>
      <c r="E75" s="11"/>
    </row>
  </sheetData>
  <mergeCells count="48">
    <mergeCell ref="A20:C20"/>
    <mergeCell ref="D20:E20"/>
    <mergeCell ref="D18:E18"/>
    <mergeCell ref="G8:G11"/>
    <mergeCell ref="A12:F12"/>
    <mergeCell ref="A13:E13"/>
    <mergeCell ref="F8:F11"/>
    <mergeCell ref="A23:C23"/>
    <mergeCell ref="D23:E23"/>
    <mergeCell ref="A27:C27"/>
    <mergeCell ref="D27:E27"/>
    <mergeCell ref="A49:C49"/>
    <mergeCell ref="D49:E49"/>
    <mergeCell ref="C50:C51"/>
    <mergeCell ref="E50:E51"/>
    <mergeCell ref="A34:C34"/>
    <mergeCell ref="D34:E34"/>
    <mergeCell ref="A69:C69"/>
    <mergeCell ref="D69:E69"/>
    <mergeCell ref="A73:E73"/>
    <mergeCell ref="I8:I11"/>
    <mergeCell ref="J8:J11"/>
    <mergeCell ref="A43:C43"/>
    <mergeCell ref="D43:E43"/>
    <mergeCell ref="A45:C45"/>
    <mergeCell ref="A57:C57"/>
    <mergeCell ref="D57:E57"/>
    <mergeCell ref="A58:C58"/>
    <mergeCell ref="D58:E58"/>
    <mergeCell ref="A63:C63"/>
    <mergeCell ref="D63:E63"/>
    <mergeCell ref="D45:E45"/>
    <mergeCell ref="A14:C14"/>
    <mergeCell ref="D14:E14"/>
    <mergeCell ref="A18:C18"/>
    <mergeCell ref="A1:B1"/>
    <mergeCell ref="D1:E1"/>
    <mergeCell ref="A8:A11"/>
    <mergeCell ref="B8:B11"/>
    <mergeCell ref="C8:C11"/>
    <mergeCell ref="D8:D11"/>
    <mergeCell ref="E8:E11"/>
    <mergeCell ref="A5:N6"/>
    <mergeCell ref="A2:N3"/>
    <mergeCell ref="H8:H11"/>
    <mergeCell ref="K8:K11"/>
    <mergeCell ref="L8:L11"/>
    <mergeCell ref="M8:N8"/>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1"/>
  <sheetViews>
    <sheetView view="pageBreakPreview" zoomScale="60" zoomScaleNormal="64" workbookViewId="0">
      <selection activeCell="G65" sqref="G65"/>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11" width="21.42578125" customWidth="1"/>
    <col min="12" max="12" width="23.85546875" customWidth="1"/>
    <col min="13" max="13" width="24" customWidth="1"/>
    <col min="14" max="14" width="24.7109375" customWidth="1"/>
    <col min="15" max="15" width="26.140625" customWidth="1"/>
    <col min="17" max="17" width="20.140625" bestFit="1" customWidth="1"/>
  </cols>
  <sheetData>
    <row r="1" spans="1:15" s="2" customFormat="1" ht="18" x14ac:dyDescent="0.2">
      <c r="A1" s="840"/>
      <c r="B1" s="840"/>
      <c r="C1" s="163"/>
      <c r="D1" s="841"/>
      <c r="E1" s="841"/>
      <c r="F1" s="8"/>
      <c r="G1" s="8"/>
      <c r="H1" s="8"/>
      <c r="I1" s="8"/>
      <c r="J1" s="8"/>
      <c r="K1" s="8"/>
      <c r="L1" s="8"/>
      <c r="M1" s="8"/>
      <c r="N1" s="8"/>
      <c r="O1" s="8"/>
    </row>
    <row r="2" spans="1:15" s="2" customFormat="1" x14ac:dyDescent="0.2">
      <c r="A2" s="846" t="s">
        <v>637</v>
      </c>
      <c r="B2" s="846"/>
      <c r="C2" s="846"/>
      <c r="D2" s="846"/>
      <c r="E2" s="846"/>
      <c r="F2" s="846"/>
      <c r="G2" s="846"/>
      <c r="H2" s="846"/>
      <c r="I2" s="846"/>
      <c r="J2" s="846"/>
      <c r="K2" s="846"/>
      <c r="L2" s="846"/>
      <c r="M2" s="846"/>
      <c r="N2" s="846"/>
      <c r="O2" s="846"/>
    </row>
    <row r="3" spans="1:15" s="2" customFormat="1" x14ac:dyDescent="0.2">
      <c r="A3" s="846"/>
      <c r="B3" s="846"/>
      <c r="C3" s="846"/>
      <c r="D3" s="846"/>
      <c r="E3" s="846"/>
      <c r="F3" s="846"/>
      <c r="G3" s="846"/>
      <c r="H3" s="846"/>
      <c r="I3" s="846"/>
      <c r="J3" s="846"/>
      <c r="K3" s="846"/>
      <c r="L3" s="846"/>
      <c r="M3" s="846"/>
      <c r="N3" s="846"/>
      <c r="O3" s="846"/>
    </row>
    <row r="4" spans="1:15" s="2" customFormat="1" ht="30" x14ac:dyDescent="0.4">
      <c r="A4" s="28"/>
      <c r="B4" s="28"/>
      <c r="C4" s="28"/>
      <c r="D4" s="28"/>
      <c r="E4" s="28"/>
      <c r="F4" s="28"/>
      <c r="G4" s="28"/>
      <c r="H4" s="28"/>
      <c r="I4" s="28"/>
      <c r="J4" s="28"/>
      <c r="K4" s="28"/>
      <c r="L4" s="28"/>
      <c r="M4" s="28"/>
      <c r="N4" s="28"/>
      <c r="O4" s="28"/>
    </row>
    <row r="5" spans="1:15" s="2" customFormat="1" x14ac:dyDescent="0.2">
      <c r="A5" s="847" t="s">
        <v>569</v>
      </c>
      <c r="B5" s="847"/>
      <c r="C5" s="847"/>
      <c r="D5" s="847"/>
      <c r="E5" s="847"/>
      <c r="F5" s="847"/>
      <c r="G5" s="847"/>
      <c r="H5" s="847"/>
      <c r="I5" s="847"/>
      <c r="J5" s="847"/>
      <c r="K5" s="847"/>
      <c r="L5" s="847"/>
      <c r="M5" s="847"/>
      <c r="N5" s="847"/>
      <c r="O5" s="847"/>
    </row>
    <row r="6" spans="1:15" s="2" customFormat="1" x14ac:dyDescent="0.2">
      <c r="A6" s="847"/>
      <c r="B6" s="847"/>
      <c r="C6" s="847"/>
      <c r="D6" s="847"/>
      <c r="E6" s="847"/>
      <c r="F6" s="847"/>
      <c r="G6" s="847"/>
      <c r="H6" s="847"/>
      <c r="I6" s="847"/>
      <c r="J6" s="847"/>
      <c r="K6" s="847"/>
      <c r="L6" s="847"/>
      <c r="M6" s="847"/>
      <c r="N6" s="847"/>
      <c r="O6" s="847"/>
    </row>
    <row r="7" spans="1:15" ht="30.75" thickBot="1" x14ac:dyDescent="0.45">
      <c r="A7" s="25" t="s">
        <v>32</v>
      </c>
      <c r="B7" s="6"/>
      <c r="C7" s="22"/>
      <c r="D7" s="23"/>
      <c r="E7" s="23"/>
      <c r="F7" s="24"/>
      <c r="G7" s="23"/>
      <c r="H7" s="23"/>
      <c r="I7" s="23"/>
      <c r="J7" s="23"/>
      <c r="K7" s="23"/>
      <c r="L7" s="23"/>
      <c r="M7" s="23"/>
      <c r="N7" s="23"/>
      <c r="O7" s="23"/>
    </row>
    <row r="8" spans="1:15" ht="41.25" customHeight="1" x14ac:dyDescent="0.2">
      <c r="A8" s="842" t="s">
        <v>10</v>
      </c>
      <c r="B8" s="936" t="s">
        <v>95</v>
      </c>
      <c r="C8" s="844" t="s">
        <v>89</v>
      </c>
      <c r="D8" s="844" t="s">
        <v>11</v>
      </c>
      <c r="E8" s="844" t="s">
        <v>62</v>
      </c>
      <c r="F8" s="958" t="s">
        <v>34</v>
      </c>
      <c r="G8" s="938" t="s">
        <v>638</v>
      </c>
      <c r="H8" s="938" t="s">
        <v>639</v>
      </c>
      <c r="I8" s="938" t="s">
        <v>661</v>
      </c>
      <c r="J8" s="938" t="s">
        <v>640</v>
      </c>
      <c r="K8" s="938" t="s">
        <v>662</v>
      </c>
      <c r="L8" s="970" t="s">
        <v>711</v>
      </c>
      <c r="M8" s="970" t="s">
        <v>712</v>
      </c>
      <c r="N8" s="966" t="s">
        <v>74</v>
      </c>
      <c r="O8" s="966" t="s">
        <v>70</v>
      </c>
    </row>
    <row r="9" spans="1:15" ht="33.75" customHeight="1" x14ac:dyDescent="0.2">
      <c r="A9" s="843"/>
      <c r="B9" s="937"/>
      <c r="C9" s="845"/>
      <c r="D9" s="845"/>
      <c r="E9" s="845"/>
      <c r="F9" s="959"/>
      <c r="G9" s="939"/>
      <c r="H9" s="939"/>
      <c r="I9" s="939"/>
      <c r="J9" s="939"/>
      <c r="K9" s="939"/>
      <c r="L9" s="957"/>
      <c r="M9" s="957"/>
      <c r="N9" s="967"/>
      <c r="O9" s="967"/>
    </row>
    <row r="10" spans="1:15" ht="30" customHeight="1" x14ac:dyDescent="0.2">
      <c r="A10" s="843"/>
      <c r="B10" s="937"/>
      <c r="C10" s="845"/>
      <c r="D10" s="845"/>
      <c r="E10" s="845"/>
      <c r="F10" s="959"/>
      <c r="G10" s="939"/>
      <c r="H10" s="939"/>
      <c r="I10" s="939"/>
      <c r="J10" s="939"/>
      <c r="K10" s="939"/>
      <c r="L10" s="957"/>
      <c r="M10" s="957"/>
      <c r="N10" s="967"/>
      <c r="O10" s="967"/>
    </row>
    <row r="11" spans="1:15" ht="209.25" customHeight="1" thickBot="1" x14ac:dyDescent="0.25">
      <c r="A11" s="962"/>
      <c r="B11" s="963"/>
      <c r="C11" s="964"/>
      <c r="D11" s="964"/>
      <c r="E11" s="964"/>
      <c r="F11" s="965"/>
      <c r="G11" s="969"/>
      <c r="H11" s="969"/>
      <c r="I11" s="969"/>
      <c r="J11" s="969"/>
      <c r="K11" s="969"/>
      <c r="L11" s="971"/>
      <c r="M11" s="971"/>
      <c r="N11" s="968"/>
      <c r="O11" s="968"/>
    </row>
    <row r="12" spans="1:15" s="31" customFormat="1" ht="65.25" customHeight="1" thickBot="1" x14ac:dyDescent="0.4">
      <c r="A12" s="972" t="s">
        <v>38</v>
      </c>
      <c r="B12" s="973"/>
      <c r="C12" s="973"/>
      <c r="D12" s="973"/>
      <c r="E12" s="973"/>
      <c r="F12" s="973"/>
      <c r="G12" s="164" t="s">
        <v>554</v>
      </c>
      <c r="H12" s="164" t="s">
        <v>556</v>
      </c>
      <c r="I12" s="974" t="s">
        <v>708</v>
      </c>
      <c r="J12" s="975"/>
      <c r="K12" s="976"/>
      <c r="L12" s="164" t="s">
        <v>709</v>
      </c>
      <c r="M12" s="164" t="s">
        <v>710</v>
      </c>
      <c r="N12" s="164" t="s">
        <v>563</v>
      </c>
      <c r="O12" s="164" t="s">
        <v>552</v>
      </c>
    </row>
    <row r="13" spans="1:15" ht="26.25" x14ac:dyDescent="0.3">
      <c r="A13" s="928" t="s">
        <v>15</v>
      </c>
      <c r="B13" s="929"/>
      <c r="C13" s="929"/>
      <c r="D13" s="929"/>
      <c r="E13" s="929"/>
      <c r="F13" s="165">
        <f>F14+F20+F43+F45+F49+F57</f>
        <v>1927394</v>
      </c>
      <c r="G13" s="165">
        <f t="shared" ref="G13:J13" si="0">G14+G20+G45+G49+G57+G43</f>
        <v>289542</v>
      </c>
      <c r="H13" s="165">
        <f t="shared" si="0"/>
        <v>5909</v>
      </c>
      <c r="I13" s="165">
        <f t="shared" si="0"/>
        <v>1306100</v>
      </c>
      <c r="J13" s="165">
        <f t="shared" si="0"/>
        <v>0</v>
      </c>
      <c r="K13" s="165">
        <f t="shared" ref="K13:O13" si="1">K14+K20+K43+K45+K49+K57</f>
        <v>26656</v>
      </c>
      <c r="L13" s="165">
        <f t="shared" ref="L13" si="2">L14+L20+L45+L49+L57+L43</f>
        <v>79042</v>
      </c>
      <c r="M13" s="165">
        <f t="shared" ref="M13" si="3">M14+M20+M43+M45+M49+M57</f>
        <v>1614</v>
      </c>
      <c r="N13" s="165">
        <f t="shared" si="1"/>
        <v>62191</v>
      </c>
      <c r="O13" s="165">
        <f t="shared" si="1"/>
        <v>156340</v>
      </c>
    </row>
    <row r="14" spans="1:15" ht="20.25" hidden="1" x14ac:dyDescent="0.3">
      <c r="A14" s="872" t="s">
        <v>94</v>
      </c>
      <c r="B14" s="873"/>
      <c r="C14" s="873"/>
      <c r="D14" s="947">
        <v>210</v>
      </c>
      <c r="E14" s="947"/>
      <c r="F14" s="47">
        <f t="shared" ref="F14:F19" si="4">SUM(G14:O14)</f>
        <v>0</v>
      </c>
      <c r="G14" s="47">
        <f t="shared" ref="G14:O14" si="5">G15+G16+G17+G18</f>
        <v>0</v>
      </c>
      <c r="H14" s="47">
        <f t="shared" si="5"/>
        <v>0</v>
      </c>
      <c r="I14" s="47">
        <f t="shared" si="5"/>
        <v>0</v>
      </c>
      <c r="J14" s="47">
        <f t="shared" si="5"/>
        <v>0</v>
      </c>
      <c r="K14" s="47">
        <f t="shared" si="5"/>
        <v>0</v>
      </c>
      <c r="L14" s="47">
        <f t="shared" ref="L14:M14" si="6">L15+L16+L17+L18</f>
        <v>0</v>
      </c>
      <c r="M14" s="47">
        <f t="shared" si="6"/>
        <v>0</v>
      </c>
      <c r="N14" s="47">
        <f t="shared" si="5"/>
        <v>0</v>
      </c>
      <c r="O14" s="47">
        <f t="shared" si="5"/>
        <v>0</v>
      </c>
    </row>
    <row r="15" spans="1:15" ht="30.75" hidden="1" x14ac:dyDescent="0.25">
      <c r="A15" s="20" t="s">
        <v>16</v>
      </c>
      <c r="B15" s="40" t="s">
        <v>96</v>
      </c>
      <c r="C15" s="125" t="s">
        <v>47</v>
      </c>
      <c r="D15" s="67">
        <v>21101</v>
      </c>
      <c r="E15" s="125" t="s">
        <v>90</v>
      </c>
      <c r="F15" s="13">
        <f t="shared" si="4"/>
        <v>0</v>
      </c>
      <c r="G15" s="13"/>
      <c r="H15" s="13"/>
      <c r="I15" s="13"/>
      <c r="J15" s="13"/>
      <c r="K15" s="13"/>
      <c r="L15" s="13"/>
      <c r="M15" s="13"/>
      <c r="N15" s="13"/>
      <c r="O15" s="13"/>
    </row>
    <row r="16" spans="1:15" ht="20.25" hidden="1" x14ac:dyDescent="0.25">
      <c r="A16" s="16" t="s">
        <v>17</v>
      </c>
      <c r="B16" s="40" t="s">
        <v>97</v>
      </c>
      <c r="C16" s="125" t="s">
        <v>48</v>
      </c>
      <c r="D16" s="67">
        <v>21300</v>
      </c>
      <c r="E16" s="125" t="s">
        <v>18</v>
      </c>
      <c r="F16" s="13">
        <f t="shared" si="4"/>
        <v>0</v>
      </c>
      <c r="G16" s="13"/>
      <c r="H16" s="13"/>
      <c r="I16" s="13"/>
      <c r="J16" s="13"/>
      <c r="K16" s="13"/>
      <c r="L16" s="13"/>
      <c r="M16" s="13"/>
      <c r="N16" s="13"/>
      <c r="O16" s="13"/>
    </row>
    <row r="17" spans="1:15" ht="30.75" hidden="1" x14ac:dyDescent="0.25">
      <c r="A17" s="16" t="s">
        <v>98</v>
      </c>
      <c r="B17" s="40" t="s">
        <v>99</v>
      </c>
      <c r="C17" s="125" t="s">
        <v>48</v>
      </c>
      <c r="D17" s="67">
        <v>21300</v>
      </c>
      <c r="E17" s="125" t="s">
        <v>18</v>
      </c>
      <c r="F17" s="13">
        <f t="shared" si="4"/>
        <v>0</v>
      </c>
      <c r="G17" s="13"/>
      <c r="H17" s="13"/>
      <c r="I17" s="13"/>
      <c r="J17" s="13"/>
      <c r="K17" s="13"/>
      <c r="L17" s="13"/>
      <c r="M17" s="13"/>
      <c r="N17" s="13"/>
      <c r="O17" s="13"/>
    </row>
    <row r="18" spans="1:15" ht="20.25" hidden="1" x14ac:dyDescent="0.3">
      <c r="A18" s="862" t="s">
        <v>12</v>
      </c>
      <c r="B18" s="863"/>
      <c r="C18" s="863"/>
      <c r="D18" s="949">
        <v>212</v>
      </c>
      <c r="E18" s="949"/>
      <c r="F18" s="44">
        <f t="shared" si="4"/>
        <v>0</v>
      </c>
      <c r="G18" s="44">
        <f t="shared" ref="G18:O18" si="7">G19</f>
        <v>0</v>
      </c>
      <c r="H18" s="44">
        <f t="shared" si="7"/>
        <v>0</v>
      </c>
      <c r="I18" s="44">
        <f t="shared" si="7"/>
        <v>0</v>
      </c>
      <c r="J18" s="44">
        <f t="shared" si="7"/>
        <v>0</v>
      </c>
      <c r="K18" s="44">
        <f t="shared" si="7"/>
        <v>0</v>
      </c>
      <c r="L18" s="44">
        <f t="shared" si="7"/>
        <v>0</v>
      </c>
      <c r="M18" s="44">
        <f t="shared" si="7"/>
        <v>0</v>
      </c>
      <c r="N18" s="44">
        <f t="shared" si="7"/>
        <v>0</v>
      </c>
      <c r="O18" s="44">
        <f t="shared" si="7"/>
        <v>0</v>
      </c>
    </row>
    <row r="19" spans="1:15" ht="31.5" hidden="1" x14ac:dyDescent="0.3">
      <c r="A19" s="57" t="s">
        <v>112</v>
      </c>
      <c r="B19" s="166" t="s">
        <v>100</v>
      </c>
      <c r="C19" s="38">
        <v>112</v>
      </c>
      <c r="D19" s="41">
        <v>21201</v>
      </c>
      <c r="E19" s="125" t="s">
        <v>59</v>
      </c>
      <c r="F19" s="13">
        <f t="shared" si="4"/>
        <v>0</v>
      </c>
      <c r="G19" s="14"/>
      <c r="H19" s="14"/>
      <c r="I19" s="14"/>
      <c r="J19" s="14"/>
      <c r="K19" s="14"/>
      <c r="L19" s="14"/>
      <c r="M19" s="14"/>
      <c r="N19" s="14"/>
      <c r="O19" s="14"/>
    </row>
    <row r="20" spans="1:15" ht="20.25" hidden="1" x14ac:dyDescent="0.3">
      <c r="A20" s="872" t="s">
        <v>92</v>
      </c>
      <c r="B20" s="873"/>
      <c r="C20" s="873"/>
      <c r="D20" s="955">
        <v>220</v>
      </c>
      <c r="E20" s="955"/>
      <c r="F20" s="45">
        <f>F21+F22+F23+F27+F34</f>
        <v>0</v>
      </c>
      <c r="G20" s="45">
        <f t="shared" ref="G20:O20" si="8">G21+G22+G23+G27+G34</f>
        <v>0</v>
      </c>
      <c r="H20" s="45">
        <f t="shared" si="8"/>
        <v>0</v>
      </c>
      <c r="I20" s="45">
        <f t="shared" si="8"/>
        <v>0</v>
      </c>
      <c r="J20" s="45">
        <f t="shared" si="8"/>
        <v>0</v>
      </c>
      <c r="K20" s="45">
        <f t="shared" si="8"/>
        <v>0</v>
      </c>
      <c r="L20" s="45">
        <f t="shared" ref="L20:M20" si="9">L21+L22+L23+L27+L34</f>
        <v>0</v>
      </c>
      <c r="M20" s="45">
        <f t="shared" si="9"/>
        <v>0</v>
      </c>
      <c r="N20" s="45">
        <f t="shared" si="8"/>
        <v>0</v>
      </c>
      <c r="O20" s="45">
        <f t="shared" si="8"/>
        <v>0</v>
      </c>
    </row>
    <row r="21" spans="1:15" ht="20.25" hidden="1" x14ac:dyDescent="0.25">
      <c r="A21" s="51" t="s">
        <v>0</v>
      </c>
      <c r="B21" s="167" t="s">
        <v>100</v>
      </c>
      <c r="C21" s="53" t="s">
        <v>49</v>
      </c>
      <c r="D21" s="54">
        <v>22100</v>
      </c>
      <c r="E21" s="53" t="s">
        <v>113</v>
      </c>
      <c r="F21" s="48">
        <f>SUM(G21:O21)</f>
        <v>0</v>
      </c>
      <c r="G21" s="48"/>
      <c r="H21" s="48"/>
      <c r="I21" s="48"/>
      <c r="J21" s="48"/>
      <c r="K21" s="48"/>
      <c r="L21" s="48"/>
      <c r="M21" s="48"/>
      <c r="N21" s="48"/>
      <c r="O21" s="48"/>
    </row>
    <row r="22" spans="1:15" ht="20.25" hidden="1" x14ac:dyDescent="0.25">
      <c r="A22" s="51" t="s">
        <v>93</v>
      </c>
      <c r="B22" s="167" t="s">
        <v>100</v>
      </c>
      <c r="C22" s="53" t="s">
        <v>49</v>
      </c>
      <c r="D22" s="54">
        <v>22299</v>
      </c>
      <c r="E22" s="53" t="s">
        <v>60</v>
      </c>
      <c r="F22" s="48">
        <f>SUM(G22:O22)</f>
        <v>0</v>
      </c>
      <c r="G22" s="48"/>
      <c r="H22" s="48"/>
      <c r="I22" s="48"/>
      <c r="J22" s="48"/>
      <c r="K22" s="48"/>
      <c r="L22" s="48"/>
      <c r="M22" s="48"/>
      <c r="N22" s="48"/>
      <c r="O22" s="48"/>
    </row>
    <row r="23" spans="1:15" ht="20.25" hidden="1" x14ac:dyDescent="0.3">
      <c r="A23" s="862" t="s">
        <v>19</v>
      </c>
      <c r="B23" s="863"/>
      <c r="C23" s="863"/>
      <c r="D23" s="954">
        <v>223</v>
      </c>
      <c r="E23" s="954"/>
      <c r="F23" s="48">
        <f>SUM(F24:F26)</f>
        <v>0</v>
      </c>
      <c r="G23" s="48">
        <f t="shared" ref="G23:O23" si="10">SUM(G24:G26)</f>
        <v>0</v>
      </c>
      <c r="H23" s="48">
        <f t="shared" si="10"/>
        <v>0</v>
      </c>
      <c r="I23" s="48">
        <f t="shared" si="10"/>
        <v>0</v>
      </c>
      <c r="J23" s="48">
        <f t="shared" si="10"/>
        <v>0</v>
      </c>
      <c r="K23" s="48">
        <f t="shared" si="10"/>
        <v>0</v>
      </c>
      <c r="L23" s="48">
        <f t="shared" ref="L23:M23" si="11">SUM(L24:L26)</f>
        <v>0</v>
      </c>
      <c r="M23" s="48">
        <f t="shared" si="11"/>
        <v>0</v>
      </c>
      <c r="N23" s="48">
        <f t="shared" si="10"/>
        <v>0</v>
      </c>
      <c r="O23" s="48">
        <f t="shared" si="10"/>
        <v>0</v>
      </c>
    </row>
    <row r="24" spans="1:15" ht="20.25" hidden="1" x14ac:dyDescent="0.25">
      <c r="A24" s="37" t="s">
        <v>20</v>
      </c>
      <c r="B24" s="40" t="s">
        <v>102</v>
      </c>
      <c r="C24" s="125" t="s">
        <v>543</v>
      </c>
      <c r="D24" s="67">
        <v>22301</v>
      </c>
      <c r="E24" s="125" t="s">
        <v>69</v>
      </c>
      <c r="F24" s="13">
        <f>SUM(G24:O24)</f>
        <v>0</v>
      </c>
      <c r="G24" s="13"/>
      <c r="H24" s="13"/>
      <c r="I24" s="13"/>
      <c r="J24" s="13"/>
      <c r="K24" s="13"/>
      <c r="L24" s="13"/>
      <c r="M24" s="13"/>
      <c r="N24" s="13"/>
      <c r="O24" s="13"/>
    </row>
    <row r="25" spans="1:15" ht="30.75" hidden="1" x14ac:dyDescent="0.25">
      <c r="A25" s="20" t="s">
        <v>5</v>
      </c>
      <c r="B25" s="40" t="s">
        <v>102</v>
      </c>
      <c r="C25" s="125" t="s">
        <v>49</v>
      </c>
      <c r="D25" s="67">
        <v>22302</v>
      </c>
      <c r="E25" s="125" t="s">
        <v>69</v>
      </c>
      <c r="F25" s="13">
        <f>SUM(G25:O25)</f>
        <v>0</v>
      </c>
      <c r="G25" s="13"/>
      <c r="H25" s="13"/>
      <c r="I25" s="13"/>
      <c r="J25" s="13"/>
      <c r="K25" s="13"/>
      <c r="L25" s="13"/>
      <c r="M25" s="13"/>
      <c r="N25" s="13"/>
      <c r="O25" s="13"/>
    </row>
    <row r="26" spans="1:15" ht="30" hidden="1" x14ac:dyDescent="0.25">
      <c r="A26" s="37" t="s">
        <v>21</v>
      </c>
      <c r="B26" s="40" t="s">
        <v>102</v>
      </c>
      <c r="C26" s="125" t="s">
        <v>543</v>
      </c>
      <c r="D26" s="67">
        <v>22303</v>
      </c>
      <c r="E26" s="125" t="s">
        <v>69</v>
      </c>
      <c r="F26" s="13">
        <f>SUM(G26:O26)</f>
        <v>0</v>
      </c>
      <c r="G26" s="13"/>
      <c r="H26" s="13"/>
      <c r="I26" s="13"/>
      <c r="J26" s="13"/>
      <c r="K26" s="13"/>
      <c r="L26" s="13"/>
      <c r="M26" s="13"/>
      <c r="N26" s="13"/>
      <c r="O26" s="13"/>
    </row>
    <row r="27" spans="1:15" ht="20.25" hidden="1" x14ac:dyDescent="0.3">
      <c r="A27" s="862" t="s">
        <v>103</v>
      </c>
      <c r="B27" s="863"/>
      <c r="C27" s="863"/>
      <c r="D27" s="949">
        <v>225</v>
      </c>
      <c r="E27" s="949"/>
      <c r="F27" s="48">
        <f>SUM(F28:F33)</f>
        <v>0</v>
      </c>
      <c r="G27" s="48">
        <f t="shared" ref="G27:O27" si="12">SUM(G28:G30)</f>
        <v>0</v>
      </c>
      <c r="H27" s="48">
        <f t="shared" si="12"/>
        <v>0</v>
      </c>
      <c r="I27" s="48">
        <f t="shared" si="12"/>
        <v>0</v>
      </c>
      <c r="J27" s="48">
        <f t="shared" si="12"/>
        <v>0</v>
      </c>
      <c r="K27" s="48">
        <f t="shared" si="12"/>
        <v>0</v>
      </c>
      <c r="L27" s="48">
        <f t="shared" ref="L27:M27" si="13">SUM(L28:L30)</f>
        <v>0</v>
      </c>
      <c r="M27" s="48">
        <f t="shared" si="13"/>
        <v>0</v>
      </c>
      <c r="N27" s="48">
        <f t="shared" si="12"/>
        <v>0</v>
      </c>
      <c r="O27" s="48">
        <f t="shared" si="12"/>
        <v>0</v>
      </c>
    </row>
    <row r="28" spans="1:15" ht="20.25" hidden="1" x14ac:dyDescent="0.25">
      <c r="A28" s="42" t="s">
        <v>54</v>
      </c>
      <c r="B28" s="40" t="s">
        <v>100</v>
      </c>
      <c r="C28" s="125" t="s">
        <v>49</v>
      </c>
      <c r="D28" s="67">
        <v>22501</v>
      </c>
      <c r="E28" s="125" t="s">
        <v>104</v>
      </c>
      <c r="F28" s="13">
        <f t="shared" ref="F28:F42" si="14">SUM(G28:O28)</f>
        <v>0</v>
      </c>
      <c r="G28" s="13"/>
      <c r="H28" s="13"/>
      <c r="I28" s="13"/>
      <c r="J28" s="13"/>
      <c r="K28" s="13"/>
      <c r="L28" s="13"/>
      <c r="M28" s="13"/>
      <c r="N28" s="13"/>
      <c r="O28" s="13"/>
    </row>
    <row r="29" spans="1:15" ht="20.25" hidden="1" x14ac:dyDescent="0.25">
      <c r="A29" s="42" t="s">
        <v>58</v>
      </c>
      <c r="B29" s="40" t="s">
        <v>100</v>
      </c>
      <c r="C29" s="125" t="s">
        <v>49</v>
      </c>
      <c r="D29" s="67">
        <v>22502</v>
      </c>
      <c r="E29" s="125" t="s">
        <v>104</v>
      </c>
      <c r="F29" s="13">
        <f t="shared" si="14"/>
        <v>0</v>
      </c>
      <c r="G29" s="13"/>
      <c r="H29" s="13"/>
      <c r="I29" s="13"/>
      <c r="J29" s="13"/>
      <c r="K29" s="13"/>
      <c r="L29" s="13"/>
      <c r="M29" s="13"/>
      <c r="N29" s="13"/>
      <c r="O29" s="13"/>
    </row>
    <row r="30" spans="1:15" ht="20.25" hidden="1" x14ac:dyDescent="0.25">
      <c r="A30" s="43" t="s">
        <v>56</v>
      </c>
      <c r="B30" s="40" t="s">
        <v>100</v>
      </c>
      <c r="C30" s="125" t="s">
        <v>49</v>
      </c>
      <c r="D30" s="67">
        <v>22503</v>
      </c>
      <c r="E30" s="125" t="s">
        <v>104</v>
      </c>
      <c r="F30" s="13">
        <f t="shared" si="14"/>
        <v>0</v>
      </c>
      <c r="G30" s="13"/>
      <c r="H30" s="13"/>
      <c r="I30" s="13"/>
      <c r="J30" s="13"/>
      <c r="K30" s="13"/>
      <c r="L30" s="13"/>
      <c r="M30" s="13"/>
      <c r="N30" s="13"/>
      <c r="O30" s="13"/>
    </row>
    <row r="31" spans="1:15" ht="30.75" hidden="1" x14ac:dyDescent="0.25">
      <c r="A31" s="43" t="s">
        <v>57</v>
      </c>
      <c r="B31" s="40" t="s">
        <v>100</v>
      </c>
      <c r="C31" s="125" t="s">
        <v>49</v>
      </c>
      <c r="D31" s="67">
        <v>22504</v>
      </c>
      <c r="E31" s="125" t="s">
        <v>104</v>
      </c>
      <c r="F31" s="13">
        <f t="shared" si="14"/>
        <v>0</v>
      </c>
      <c r="G31" s="13"/>
      <c r="H31" s="13"/>
      <c r="I31" s="13"/>
      <c r="J31" s="13"/>
      <c r="K31" s="13"/>
      <c r="L31" s="13"/>
      <c r="M31" s="13"/>
      <c r="N31" s="13"/>
      <c r="O31" s="13"/>
    </row>
    <row r="32" spans="1:15" ht="20.25" hidden="1" x14ac:dyDescent="0.25">
      <c r="A32" s="42" t="s">
        <v>55</v>
      </c>
      <c r="B32" s="40" t="s">
        <v>100</v>
      </c>
      <c r="C32" s="125" t="s">
        <v>49</v>
      </c>
      <c r="D32" s="67">
        <v>22505</v>
      </c>
      <c r="E32" s="125" t="s">
        <v>104</v>
      </c>
      <c r="F32" s="13">
        <f t="shared" si="14"/>
        <v>0</v>
      </c>
      <c r="G32" s="13"/>
      <c r="H32" s="13"/>
      <c r="I32" s="13"/>
      <c r="J32" s="13"/>
      <c r="K32" s="13"/>
      <c r="L32" s="13"/>
      <c r="M32" s="13"/>
      <c r="N32" s="13"/>
      <c r="O32" s="13"/>
    </row>
    <row r="33" spans="1:15" ht="30.75" hidden="1" x14ac:dyDescent="0.25">
      <c r="A33" s="42" t="s">
        <v>22</v>
      </c>
      <c r="B33" s="40" t="s">
        <v>100</v>
      </c>
      <c r="C33" s="125" t="s">
        <v>49</v>
      </c>
      <c r="D33" s="67">
        <v>22599</v>
      </c>
      <c r="E33" s="125" t="s">
        <v>104</v>
      </c>
      <c r="F33" s="13">
        <f t="shared" si="14"/>
        <v>0</v>
      </c>
      <c r="G33" s="13"/>
      <c r="H33" s="13"/>
      <c r="I33" s="13"/>
      <c r="J33" s="13"/>
      <c r="K33" s="13"/>
      <c r="L33" s="13"/>
      <c r="M33" s="13"/>
      <c r="N33" s="13"/>
      <c r="O33" s="13"/>
    </row>
    <row r="34" spans="1:15" ht="20.25" hidden="1" x14ac:dyDescent="0.3">
      <c r="A34" s="862" t="s">
        <v>109</v>
      </c>
      <c r="B34" s="863"/>
      <c r="C34" s="863"/>
      <c r="D34" s="949">
        <v>226</v>
      </c>
      <c r="E34" s="949"/>
      <c r="F34" s="44">
        <f t="shared" si="14"/>
        <v>0</v>
      </c>
      <c r="G34" s="44">
        <f t="shared" ref="G34:O34" si="15">SUM(G35:G42)</f>
        <v>0</v>
      </c>
      <c r="H34" s="44">
        <f t="shared" si="15"/>
        <v>0</v>
      </c>
      <c r="I34" s="44">
        <f t="shared" si="15"/>
        <v>0</v>
      </c>
      <c r="J34" s="44">
        <f t="shared" si="15"/>
        <v>0</v>
      </c>
      <c r="K34" s="44">
        <f t="shared" si="15"/>
        <v>0</v>
      </c>
      <c r="L34" s="44">
        <f t="shared" ref="L34:M34" si="16">SUM(L35:L42)</f>
        <v>0</v>
      </c>
      <c r="M34" s="44">
        <f t="shared" si="16"/>
        <v>0</v>
      </c>
      <c r="N34" s="44">
        <f t="shared" si="15"/>
        <v>0</v>
      </c>
      <c r="O34" s="44">
        <f t="shared" si="15"/>
        <v>0</v>
      </c>
    </row>
    <row r="35" spans="1:15" ht="20.25" hidden="1" x14ac:dyDescent="0.25">
      <c r="A35" s="43" t="s">
        <v>33</v>
      </c>
      <c r="B35" s="40" t="s">
        <v>100</v>
      </c>
      <c r="C35" s="125" t="s">
        <v>49</v>
      </c>
      <c r="D35" s="67">
        <v>22601</v>
      </c>
      <c r="E35" s="125" t="s">
        <v>110</v>
      </c>
      <c r="F35" s="13">
        <f t="shared" si="14"/>
        <v>0</v>
      </c>
      <c r="G35" s="13"/>
      <c r="H35" s="13"/>
      <c r="I35" s="13"/>
      <c r="J35" s="13"/>
      <c r="K35" s="13"/>
      <c r="L35" s="13"/>
      <c r="M35" s="13"/>
      <c r="N35" s="13"/>
      <c r="O35" s="13"/>
    </row>
    <row r="36" spans="1:15" ht="31.5" hidden="1" x14ac:dyDescent="0.25">
      <c r="A36" s="42" t="s">
        <v>111</v>
      </c>
      <c r="B36" s="40" t="s">
        <v>100</v>
      </c>
      <c r="C36" s="125" t="s">
        <v>50</v>
      </c>
      <c r="D36" s="67">
        <v>22602</v>
      </c>
      <c r="E36" s="125" t="s">
        <v>110</v>
      </c>
      <c r="F36" s="13">
        <f t="shared" si="14"/>
        <v>0</v>
      </c>
      <c r="G36" s="13"/>
      <c r="H36" s="13"/>
      <c r="I36" s="13"/>
      <c r="J36" s="13"/>
      <c r="K36" s="13"/>
      <c r="L36" s="13"/>
      <c r="M36" s="13"/>
      <c r="N36" s="13"/>
      <c r="O36" s="13"/>
    </row>
    <row r="37" spans="1:15" ht="31.5" hidden="1" x14ac:dyDescent="0.25">
      <c r="A37" s="42" t="s">
        <v>114</v>
      </c>
      <c r="B37" s="40" t="s">
        <v>100</v>
      </c>
      <c r="C37" s="125" t="s">
        <v>115</v>
      </c>
      <c r="D37" s="67">
        <v>22602</v>
      </c>
      <c r="E37" s="125" t="s">
        <v>110</v>
      </c>
      <c r="F37" s="13">
        <f t="shared" si="14"/>
        <v>0</v>
      </c>
      <c r="G37" s="13"/>
      <c r="H37" s="13"/>
      <c r="I37" s="13"/>
      <c r="J37" s="13"/>
      <c r="K37" s="13"/>
      <c r="L37" s="13"/>
      <c r="M37" s="13"/>
      <c r="N37" s="13"/>
      <c r="O37" s="13"/>
    </row>
    <row r="38" spans="1:15" ht="20.25" hidden="1" x14ac:dyDescent="0.25">
      <c r="A38" s="42" t="s">
        <v>23</v>
      </c>
      <c r="B38" s="40" t="s">
        <v>100</v>
      </c>
      <c r="C38" s="125" t="s">
        <v>49</v>
      </c>
      <c r="D38" s="67">
        <v>22603</v>
      </c>
      <c r="E38" s="125" t="s">
        <v>110</v>
      </c>
      <c r="F38" s="13">
        <f t="shared" si="14"/>
        <v>0</v>
      </c>
      <c r="G38" s="13"/>
      <c r="H38" s="13"/>
      <c r="I38" s="13"/>
      <c r="J38" s="13"/>
      <c r="K38" s="13"/>
      <c r="L38" s="13"/>
      <c r="M38" s="13"/>
      <c r="N38" s="13"/>
      <c r="O38" s="13"/>
    </row>
    <row r="39" spans="1:15" ht="30.75" hidden="1" x14ac:dyDescent="0.25">
      <c r="A39" s="42" t="s">
        <v>24</v>
      </c>
      <c r="B39" s="40" t="s">
        <v>100</v>
      </c>
      <c r="C39" s="125" t="s">
        <v>49</v>
      </c>
      <c r="D39" s="67">
        <v>22605</v>
      </c>
      <c r="E39" s="125" t="s">
        <v>110</v>
      </c>
      <c r="F39" s="13">
        <f t="shared" si="14"/>
        <v>0</v>
      </c>
      <c r="G39" s="13"/>
      <c r="H39" s="13"/>
      <c r="I39" s="13"/>
      <c r="J39" s="13"/>
      <c r="K39" s="13"/>
      <c r="L39" s="13"/>
      <c r="M39" s="13"/>
      <c r="N39" s="13"/>
      <c r="O39" s="13"/>
    </row>
    <row r="40" spans="1:15" ht="46.5" hidden="1" x14ac:dyDescent="0.25">
      <c r="A40" s="42" t="s">
        <v>116</v>
      </c>
      <c r="B40" s="40" t="s">
        <v>100</v>
      </c>
      <c r="C40" s="125" t="s">
        <v>50</v>
      </c>
      <c r="D40" s="67">
        <v>22606</v>
      </c>
      <c r="E40" s="125" t="s">
        <v>110</v>
      </c>
      <c r="F40" s="13">
        <f t="shared" si="14"/>
        <v>0</v>
      </c>
      <c r="G40" s="13"/>
      <c r="H40" s="13"/>
      <c r="I40" s="13"/>
      <c r="J40" s="13"/>
      <c r="K40" s="13"/>
      <c r="L40" s="13"/>
      <c r="M40" s="13"/>
      <c r="N40" s="13"/>
      <c r="O40" s="13"/>
    </row>
    <row r="41" spans="1:15" ht="31.5" hidden="1" x14ac:dyDescent="0.25">
      <c r="A41" s="42" t="s">
        <v>117</v>
      </c>
      <c r="B41" s="40" t="s">
        <v>100</v>
      </c>
      <c r="C41" s="125" t="s">
        <v>50</v>
      </c>
      <c r="D41" s="67">
        <v>22699</v>
      </c>
      <c r="E41" s="125" t="s">
        <v>110</v>
      </c>
      <c r="F41" s="13">
        <f t="shared" si="14"/>
        <v>0</v>
      </c>
      <c r="G41" s="13"/>
      <c r="H41" s="13"/>
      <c r="I41" s="13"/>
      <c r="J41" s="13"/>
      <c r="K41" s="13"/>
      <c r="L41" s="13"/>
      <c r="M41" s="13"/>
      <c r="N41" s="13"/>
      <c r="O41" s="13"/>
    </row>
    <row r="42" spans="1:15" ht="30.75" hidden="1" x14ac:dyDescent="0.25">
      <c r="A42" s="42" t="s">
        <v>25</v>
      </c>
      <c r="B42" s="40" t="s">
        <v>100</v>
      </c>
      <c r="C42" s="125" t="s">
        <v>49</v>
      </c>
      <c r="D42" s="67">
        <v>22699</v>
      </c>
      <c r="E42" s="125" t="s">
        <v>110</v>
      </c>
      <c r="F42" s="13">
        <f t="shared" si="14"/>
        <v>0</v>
      </c>
      <c r="G42" s="13"/>
      <c r="H42" s="13"/>
      <c r="I42" s="13"/>
      <c r="J42" s="13"/>
      <c r="K42" s="13"/>
      <c r="L42" s="13"/>
      <c r="M42" s="13"/>
      <c r="N42" s="13"/>
      <c r="O42" s="13"/>
    </row>
    <row r="43" spans="1:15" ht="34.5" customHeight="1" x14ac:dyDescent="0.3">
      <c r="A43" s="872" t="s">
        <v>499</v>
      </c>
      <c r="B43" s="873"/>
      <c r="C43" s="873"/>
      <c r="D43" s="947">
        <v>26300</v>
      </c>
      <c r="E43" s="947"/>
      <c r="F43" s="45">
        <f t="shared" ref="F43" si="17">SUM(F44)</f>
        <v>0</v>
      </c>
      <c r="G43" s="45">
        <f t="shared" ref="G43:L43" si="18">G44</f>
        <v>0</v>
      </c>
      <c r="H43" s="45">
        <f t="shared" si="18"/>
        <v>0</v>
      </c>
      <c r="I43" s="45">
        <f t="shared" si="18"/>
        <v>0</v>
      </c>
      <c r="J43" s="45">
        <f t="shared" si="18"/>
        <v>0</v>
      </c>
      <c r="K43" s="45">
        <f t="shared" ref="K43:O43" si="19">SUM(K44)</f>
        <v>0</v>
      </c>
      <c r="L43" s="45">
        <f t="shared" si="18"/>
        <v>0</v>
      </c>
      <c r="M43" s="45">
        <f t="shared" si="19"/>
        <v>0</v>
      </c>
      <c r="N43" s="45">
        <f t="shared" si="19"/>
        <v>0</v>
      </c>
      <c r="O43" s="45">
        <f t="shared" si="19"/>
        <v>0</v>
      </c>
    </row>
    <row r="44" spans="1:15" ht="32.25" customHeight="1" x14ac:dyDescent="0.25">
      <c r="A44" s="42" t="s">
        <v>500</v>
      </c>
      <c r="B44" s="40" t="s">
        <v>100</v>
      </c>
      <c r="C44" s="125" t="s">
        <v>281</v>
      </c>
      <c r="D44" s="67">
        <v>26300</v>
      </c>
      <c r="E44" s="125" t="s">
        <v>501</v>
      </c>
      <c r="F44" s="13">
        <f>SUM(G44:O44)</f>
        <v>0</v>
      </c>
      <c r="G44" s="13"/>
      <c r="H44" s="13"/>
      <c r="I44" s="13"/>
      <c r="J44" s="13"/>
      <c r="K44" s="13"/>
      <c r="L44" s="13"/>
      <c r="M44" s="13"/>
      <c r="N44" s="13"/>
      <c r="O44" s="13"/>
    </row>
    <row r="45" spans="1:15" ht="20.25" hidden="1" x14ac:dyDescent="0.3">
      <c r="A45" s="872" t="s">
        <v>121</v>
      </c>
      <c r="B45" s="873"/>
      <c r="C45" s="873"/>
      <c r="D45" s="947">
        <v>266</v>
      </c>
      <c r="E45" s="947"/>
      <c r="F45" s="45">
        <f>SUM(G45:O45)</f>
        <v>0</v>
      </c>
      <c r="G45" s="45">
        <f t="shared" ref="G45:O45" si="20">SUM(G46:G48)</f>
        <v>0</v>
      </c>
      <c r="H45" s="45">
        <f t="shared" si="20"/>
        <v>0</v>
      </c>
      <c r="I45" s="45">
        <f t="shared" si="20"/>
        <v>0</v>
      </c>
      <c r="J45" s="45">
        <f t="shared" si="20"/>
        <v>0</v>
      </c>
      <c r="K45" s="45">
        <f t="shared" si="20"/>
        <v>0</v>
      </c>
      <c r="L45" s="45">
        <f t="shared" ref="L45:M45" si="21">SUM(L46:L48)</f>
        <v>0</v>
      </c>
      <c r="M45" s="45">
        <f t="shared" si="21"/>
        <v>0</v>
      </c>
      <c r="N45" s="45">
        <f t="shared" si="20"/>
        <v>0</v>
      </c>
      <c r="O45" s="45">
        <f t="shared" si="20"/>
        <v>0</v>
      </c>
    </row>
    <row r="46" spans="1:15" ht="31.5" hidden="1" x14ac:dyDescent="0.25">
      <c r="A46" s="42" t="s">
        <v>118</v>
      </c>
      <c r="B46" s="40" t="s">
        <v>96</v>
      </c>
      <c r="C46" s="125" t="s">
        <v>47</v>
      </c>
      <c r="D46" s="67">
        <v>26600</v>
      </c>
      <c r="E46" s="125" t="s">
        <v>91</v>
      </c>
      <c r="F46" s="13">
        <f>SUM(G46:O46)</f>
        <v>0</v>
      </c>
      <c r="G46" s="13"/>
      <c r="H46" s="13"/>
      <c r="I46" s="13"/>
      <c r="J46" s="13"/>
      <c r="K46" s="13"/>
      <c r="L46" s="13"/>
      <c r="M46" s="13"/>
      <c r="N46" s="13"/>
      <c r="O46" s="13"/>
    </row>
    <row r="47" spans="1:15" ht="31.5" hidden="1" x14ac:dyDescent="0.25">
      <c r="A47" s="42" t="s">
        <v>119</v>
      </c>
      <c r="B47" s="40" t="s">
        <v>100</v>
      </c>
      <c r="C47" s="125" t="s">
        <v>50</v>
      </c>
      <c r="D47" s="67">
        <v>26601</v>
      </c>
      <c r="E47" s="125" t="s">
        <v>91</v>
      </c>
      <c r="F47" s="13">
        <f>SUM(G47:O47)</f>
        <v>0</v>
      </c>
      <c r="G47" s="13"/>
      <c r="H47" s="13"/>
      <c r="I47" s="13"/>
      <c r="J47" s="13"/>
      <c r="K47" s="13"/>
      <c r="L47" s="13"/>
      <c r="M47" s="13"/>
      <c r="N47" s="13"/>
      <c r="O47" s="13"/>
    </row>
    <row r="48" spans="1:15" ht="47.25" hidden="1" x14ac:dyDescent="0.25">
      <c r="A48" s="42" t="s">
        <v>120</v>
      </c>
      <c r="B48" s="40" t="s">
        <v>99</v>
      </c>
      <c r="C48" s="125" t="s">
        <v>50</v>
      </c>
      <c r="D48" s="67">
        <v>26602</v>
      </c>
      <c r="E48" s="125" t="s">
        <v>91</v>
      </c>
      <c r="F48" s="13">
        <f>SUM(G48:O48)</f>
        <v>0</v>
      </c>
      <c r="G48" s="13"/>
      <c r="H48" s="13"/>
      <c r="I48" s="13"/>
      <c r="J48" s="13"/>
      <c r="K48" s="13"/>
      <c r="L48" s="13"/>
      <c r="M48" s="13"/>
      <c r="N48" s="13"/>
      <c r="O48" s="13"/>
    </row>
    <row r="49" spans="1:15" s="1" customFormat="1" ht="20.25" hidden="1" x14ac:dyDescent="0.3">
      <c r="A49" s="872" t="s">
        <v>31</v>
      </c>
      <c r="B49" s="873"/>
      <c r="C49" s="873"/>
      <c r="D49" s="947">
        <v>290</v>
      </c>
      <c r="E49" s="947"/>
      <c r="F49" s="45">
        <f>SUM(F50:F56)</f>
        <v>0</v>
      </c>
      <c r="G49" s="45">
        <f t="shared" ref="G49:O49" si="22">SUM(G50:G56)</f>
        <v>0</v>
      </c>
      <c r="H49" s="45">
        <f t="shared" si="22"/>
        <v>0</v>
      </c>
      <c r="I49" s="45">
        <f t="shared" si="22"/>
        <v>0</v>
      </c>
      <c r="J49" s="45">
        <f t="shared" si="22"/>
        <v>0</v>
      </c>
      <c r="K49" s="45">
        <f t="shared" si="22"/>
        <v>0</v>
      </c>
      <c r="L49" s="45">
        <f t="shared" ref="L49:M49" si="23">SUM(L50:L56)</f>
        <v>0</v>
      </c>
      <c r="M49" s="45">
        <f t="shared" si="23"/>
        <v>0</v>
      </c>
      <c r="N49" s="45">
        <f t="shared" si="22"/>
        <v>0</v>
      </c>
      <c r="O49" s="45">
        <f t="shared" si="22"/>
        <v>0</v>
      </c>
    </row>
    <row r="50" spans="1:15" ht="20.25" hidden="1" x14ac:dyDescent="0.25">
      <c r="A50" s="27" t="s">
        <v>513</v>
      </c>
      <c r="B50" s="40" t="s">
        <v>100</v>
      </c>
      <c r="C50" s="950" t="s">
        <v>51</v>
      </c>
      <c r="D50" s="67">
        <v>29101</v>
      </c>
      <c r="E50" s="950" t="s">
        <v>123</v>
      </c>
      <c r="F50" s="13">
        <f t="shared" ref="F50:F56" si="24">SUM(G50:O50)</f>
        <v>0</v>
      </c>
      <c r="G50" s="13"/>
      <c r="H50" s="13"/>
      <c r="I50" s="13"/>
      <c r="J50" s="13"/>
      <c r="K50" s="13"/>
      <c r="L50" s="13"/>
      <c r="M50" s="13"/>
      <c r="N50" s="13"/>
      <c r="O50" s="13"/>
    </row>
    <row r="51" spans="1:15" ht="20.25" hidden="1" x14ac:dyDescent="0.25">
      <c r="A51" s="27" t="s">
        <v>514</v>
      </c>
      <c r="B51" s="40" t="s">
        <v>100</v>
      </c>
      <c r="C51" s="950"/>
      <c r="D51" s="67">
        <v>29102</v>
      </c>
      <c r="E51" s="950"/>
      <c r="F51" s="13">
        <f t="shared" si="24"/>
        <v>0</v>
      </c>
      <c r="G51" s="13"/>
      <c r="H51" s="13"/>
      <c r="I51" s="13"/>
      <c r="J51" s="13"/>
      <c r="K51" s="13"/>
      <c r="L51" s="13"/>
      <c r="M51" s="13"/>
      <c r="N51" s="13"/>
      <c r="O51" s="13"/>
    </row>
    <row r="52" spans="1:15" ht="20.25" hidden="1" x14ac:dyDescent="0.25">
      <c r="A52" s="27" t="s">
        <v>542</v>
      </c>
      <c r="B52" s="40" t="s">
        <v>100</v>
      </c>
      <c r="C52" s="125" t="s">
        <v>52</v>
      </c>
      <c r="D52" s="67">
        <v>29104</v>
      </c>
      <c r="E52" s="125" t="s">
        <v>123</v>
      </c>
      <c r="F52" s="13">
        <f t="shared" si="24"/>
        <v>0</v>
      </c>
      <c r="G52" s="13"/>
      <c r="H52" s="13"/>
      <c r="I52" s="13"/>
      <c r="J52" s="13"/>
      <c r="K52" s="13"/>
      <c r="L52" s="13"/>
      <c r="M52" s="13"/>
      <c r="N52" s="13"/>
      <c r="O52" s="13"/>
    </row>
    <row r="53" spans="1:15" ht="26.25" hidden="1" x14ac:dyDescent="0.25">
      <c r="A53" s="58" t="s">
        <v>125</v>
      </c>
      <c r="B53" s="40" t="s">
        <v>100</v>
      </c>
      <c r="C53" s="125" t="s">
        <v>53</v>
      </c>
      <c r="D53" s="67">
        <v>29001</v>
      </c>
      <c r="E53" s="125" t="s">
        <v>127</v>
      </c>
      <c r="F53" s="13">
        <f t="shared" si="24"/>
        <v>0</v>
      </c>
      <c r="G53" s="13"/>
      <c r="H53" s="13"/>
      <c r="I53" s="13"/>
      <c r="J53" s="13"/>
      <c r="K53" s="13"/>
      <c r="L53" s="13"/>
      <c r="M53" s="13"/>
      <c r="N53" s="13"/>
      <c r="O53" s="13"/>
    </row>
    <row r="54" spans="1:15" ht="26.25" hidden="1" x14ac:dyDescent="0.25">
      <c r="A54" s="58" t="s">
        <v>126</v>
      </c>
      <c r="B54" s="40" t="s">
        <v>100</v>
      </c>
      <c r="C54" s="125" t="s">
        <v>53</v>
      </c>
      <c r="D54" s="67">
        <v>29001</v>
      </c>
      <c r="E54" s="125" t="s">
        <v>128</v>
      </c>
      <c r="F54" s="13">
        <f t="shared" si="24"/>
        <v>0</v>
      </c>
      <c r="G54" s="13"/>
      <c r="H54" s="13"/>
      <c r="I54" s="13"/>
      <c r="J54" s="13"/>
      <c r="K54" s="13"/>
      <c r="L54" s="13"/>
      <c r="M54" s="13"/>
      <c r="N54" s="13"/>
      <c r="O54" s="13"/>
    </row>
    <row r="55" spans="1:15" ht="26.25" hidden="1" x14ac:dyDescent="0.25">
      <c r="A55" s="59" t="s">
        <v>130</v>
      </c>
      <c r="B55" s="40" t="s">
        <v>100</v>
      </c>
      <c r="C55" s="125" t="s">
        <v>53</v>
      </c>
      <c r="D55" s="67">
        <v>29001</v>
      </c>
      <c r="E55" s="125" t="s">
        <v>129</v>
      </c>
      <c r="F55" s="13">
        <f t="shared" si="24"/>
        <v>0</v>
      </c>
      <c r="G55" s="13"/>
      <c r="H55" s="13"/>
      <c r="I55" s="13"/>
      <c r="J55" s="13"/>
      <c r="K55" s="13"/>
      <c r="L55" s="13"/>
      <c r="M55" s="13"/>
      <c r="N55" s="13"/>
      <c r="O55" s="13"/>
    </row>
    <row r="56" spans="1:15" ht="26.25" hidden="1" x14ac:dyDescent="0.25">
      <c r="A56" s="59" t="s">
        <v>130</v>
      </c>
      <c r="B56" s="40" t="s">
        <v>100</v>
      </c>
      <c r="C56" s="125" t="s">
        <v>53</v>
      </c>
      <c r="D56" s="67">
        <v>29099</v>
      </c>
      <c r="E56" s="125" t="s">
        <v>624</v>
      </c>
      <c r="F56" s="13">
        <f t="shared" si="24"/>
        <v>0</v>
      </c>
      <c r="G56" s="13"/>
      <c r="H56" s="13"/>
      <c r="I56" s="13"/>
      <c r="J56" s="13"/>
      <c r="K56" s="13"/>
      <c r="L56" s="13"/>
      <c r="M56" s="13"/>
      <c r="N56" s="13"/>
      <c r="O56" s="13"/>
    </row>
    <row r="57" spans="1:15" ht="20.25" hidden="1" x14ac:dyDescent="0.3">
      <c r="A57" s="872" t="s">
        <v>131</v>
      </c>
      <c r="B57" s="873"/>
      <c r="C57" s="873"/>
      <c r="D57" s="948">
        <v>300</v>
      </c>
      <c r="E57" s="948"/>
      <c r="F57" s="45">
        <f>F58+F63</f>
        <v>1927394</v>
      </c>
      <c r="G57" s="45">
        <f t="shared" ref="G57:O57" si="25">G58+G63</f>
        <v>289542</v>
      </c>
      <c r="H57" s="45">
        <f t="shared" si="25"/>
        <v>5909</v>
      </c>
      <c r="I57" s="45">
        <f t="shared" si="25"/>
        <v>1306100</v>
      </c>
      <c r="J57" s="45">
        <f t="shared" si="25"/>
        <v>0</v>
      </c>
      <c r="K57" s="45">
        <f t="shared" si="25"/>
        <v>26656</v>
      </c>
      <c r="L57" s="45">
        <f t="shared" ref="L57:M57" si="26">L58+L63</f>
        <v>79042</v>
      </c>
      <c r="M57" s="45">
        <f t="shared" si="26"/>
        <v>1614</v>
      </c>
      <c r="N57" s="45">
        <f t="shared" si="25"/>
        <v>62191</v>
      </c>
      <c r="O57" s="45">
        <f t="shared" si="25"/>
        <v>156340</v>
      </c>
    </row>
    <row r="58" spans="1:15" ht="20.25" hidden="1" x14ac:dyDescent="0.3">
      <c r="A58" s="862" t="s">
        <v>13</v>
      </c>
      <c r="B58" s="863"/>
      <c r="C58" s="863"/>
      <c r="D58" s="949">
        <v>310</v>
      </c>
      <c r="E58" s="949"/>
      <c r="F58" s="44">
        <f>SUM(G58:O58)</f>
        <v>0</v>
      </c>
      <c r="G58" s="44">
        <f t="shared" ref="G58:M58" si="27">SUM(G59:G62)</f>
        <v>0</v>
      </c>
      <c r="H58" s="44">
        <f t="shared" si="27"/>
        <v>0</v>
      </c>
      <c r="I58" s="44">
        <f t="shared" si="27"/>
        <v>0</v>
      </c>
      <c r="J58" s="44">
        <f t="shared" si="27"/>
        <v>0</v>
      </c>
      <c r="K58" s="44">
        <f t="shared" si="27"/>
        <v>0</v>
      </c>
      <c r="L58" s="44">
        <f t="shared" si="27"/>
        <v>0</v>
      </c>
      <c r="M58" s="44">
        <f t="shared" si="27"/>
        <v>0</v>
      </c>
      <c r="N58" s="44">
        <f t="shared" ref="N58:O58" si="28">SUM(N59:N62)</f>
        <v>0</v>
      </c>
      <c r="O58" s="44">
        <f t="shared" si="28"/>
        <v>0</v>
      </c>
    </row>
    <row r="59" spans="1:15" ht="20.25" hidden="1" x14ac:dyDescent="0.25">
      <c r="A59" s="16" t="s">
        <v>132</v>
      </c>
      <c r="B59" s="40" t="s">
        <v>133</v>
      </c>
      <c r="C59" s="125" t="s">
        <v>49</v>
      </c>
      <c r="D59" s="67">
        <v>31003</v>
      </c>
      <c r="E59" s="125" t="s">
        <v>61</v>
      </c>
      <c r="F59" s="13">
        <f>SUM(G59:O59)</f>
        <v>0</v>
      </c>
      <c r="G59" s="13"/>
      <c r="H59" s="13"/>
      <c r="I59" s="13"/>
      <c r="J59" s="13"/>
      <c r="K59" s="13"/>
      <c r="L59" s="13"/>
      <c r="M59" s="13"/>
      <c r="N59" s="13"/>
      <c r="O59" s="13"/>
    </row>
    <row r="60" spans="1:15" ht="20.25" hidden="1" x14ac:dyDescent="0.25">
      <c r="A60" s="16" t="s">
        <v>6</v>
      </c>
      <c r="B60" s="40" t="s">
        <v>133</v>
      </c>
      <c r="C60" s="125" t="s">
        <v>49</v>
      </c>
      <c r="D60" s="67">
        <v>31004</v>
      </c>
      <c r="E60" s="125" t="s">
        <v>61</v>
      </c>
      <c r="F60" s="13">
        <f>SUM(G60:O60)</f>
        <v>0</v>
      </c>
      <c r="G60" s="13"/>
      <c r="H60" s="13"/>
      <c r="I60" s="13"/>
      <c r="J60" s="13"/>
      <c r="K60" s="13"/>
      <c r="L60" s="13"/>
      <c r="M60" s="13"/>
      <c r="N60" s="13"/>
      <c r="O60" s="13"/>
    </row>
    <row r="61" spans="1:15" ht="20.25" hidden="1" x14ac:dyDescent="0.25">
      <c r="A61" s="16" t="s">
        <v>7</v>
      </c>
      <c r="B61" s="40" t="s">
        <v>133</v>
      </c>
      <c r="C61" s="125" t="s">
        <v>49</v>
      </c>
      <c r="D61" s="67">
        <v>31005</v>
      </c>
      <c r="E61" s="125" t="s">
        <v>61</v>
      </c>
      <c r="F61" s="13">
        <f>SUM(G61:O61)</f>
        <v>0</v>
      </c>
      <c r="G61" s="13"/>
      <c r="H61" s="13"/>
      <c r="I61" s="13"/>
      <c r="J61" s="13"/>
      <c r="K61" s="13"/>
      <c r="L61" s="13"/>
      <c r="M61" s="13"/>
      <c r="N61" s="13"/>
      <c r="O61" s="13"/>
    </row>
    <row r="62" spans="1:15" ht="30.75" hidden="1" x14ac:dyDescent="0.25">
      <c r="A62" s="16" t="s">
        <v>8</v>
      </c>
      <c r="B62" s="40" t="s">
        <v>133</v>
      </c>
      <c r="C62" s="125" t="s">
        <v>49</v>
      </c>
      <c r="D62" s="67">
        <v>31099</v>
      </c>
      <c r="E62" s="125" t="s">
        <v>61</v>
      </c>
      <c r="F62" s="13">
        <f>SUM(G62:O62)</f>
        <v>0</v>
      </c>
      <c r="G62" s="13"/>
      <c r="H62" s="13"/>
      <c r="I62" s="13"/>
      <c r="J62" s="13"/>
      <c r="K62" s="13"/>
      <c r="L62" s="13"/>
      <c r="M62" s="13"/>
      <c r="N62" s="13"/>
      <c r="O62" s="13"/>
    </row>
    <row r="63" spans="1:15" ht="34.5" customHeight="1" x14ac:dyDescent="0.3">
      <c r="A63" s="862" t="s">
        <v>14</v>
      </c>
      <c r="B63" s="863"/>
      <c r="C63" s="863"/>
      <c r="D63" s="949">
        <v>340</v>
      </c>
      <c r="E63" s="949"/>
      <c r="F63" s="44">
        <f>F64+F65+F66+F67+F68+F69</f>
        <v>1927394</v>
      </c>
      <c r="G63" s="44">
        <f t="shared" ref="G63:O63" si="29">G64+G65+G66+G67+G68+G69</f>
        <v>289542</v>
      </c>
      <c r="H63" s="44">
        <f t="shared" si="29"/>
        <v>5909</v>
      </c>
      <c r="I63" s="44">
        <f t="shared" si="29"/>
        <v>1306100</v>
      </c>
      <c r="J63" s="44">
        <f t="shared" si="29"/>
        <v>0</v>
      </c>
      <c r="K63" s="44">
        <f t="shared" si="29"/>
        <v>26656</v>
      </c>
      <c r="L63" s="44">
        <f t="shared" ref="L63:M63" si="30">L64+L65+L66+L67+L68+L69</f>
        <v>79042</v>
      </c>
      <c r="M63" s="44">
        <f t="shared" si="30"/>
        <v>1614</v>
      </c>
      <c r="N63" s="44">
        <f t="shared" si="29"/>
        <v>62191</v>
      </c>
      <c r="O63" s="44">
        <f t="shared" si="29"/>
        <v>156340</v>
      </c>
    </row>
    <row r="64" spans="1:15" ht="34.5" customHeight="1" x14ac:dyDescent="0.25">
      <c r="A64" s="42" t="s">
        <v>3</v>
      </c>
      <c r="B64" s="40" t="s">
        <v>100</v>
      </c>
      <c r="C64" s="125" t="s">
        <v>49</v>
      </c>
      <c r="D64" s="67">
        <v>34001</v>
      </c>
      <c r="E64" s="125" t="s">
        <v>82</v>
      </c>
      <c r="F64" s="13">
        <f>SUM(G64:O64)</f>
        <v>0</v>
      </c>
      <c r="G64" s="13"/>
      <c r="H64" s="13"/>
      <c r="I64" s="13"/>
      <c r="J64" s="13"/>
      <c r="K64" s="13"/>
      <c r="L64" s="13"/>
      <c r="M64" s="13"/>
      <c r="N64" s="13"/>
      <c r="O64" s="13"/>
    </row>
    <row r="65" spans="1:15" ht="30.75" customHeight="1" x14ac:dyDescent="0.3">
      <c r="A65" s="168" t="s">
        <v>1</v>
      </c>
      <c r="B65" s="169" t="s">
        <v>100</v>
      </c>
      <c r="C65" s="170" t="s">
        <v>49</v>
      </c>
      <c r="D65" s="171">
        <v>34002</v>
      </c>
      <c r="E65" s="170" t="s">
        <v>83</v>
      </c>
      <c r="F65" s="154">
        <f>SUM(G65:O65)</f>
        <v>1927394</v>
      </c>
      <c r="G65" s="316">
        <f>289542</f>
        <v>289542</v>
      </c>
      <c r="H65" s="316">
        <f>5909</f>
        <v>5909</v>
      </c>
      <c r="I65" s="960">
        <f>901211+404889</f>
        <v>1306100</v>
      </c>
      <c r="J65" s="961"/>
      <c r="K65" s="316">
        <f>26656</f>
        <v>26656</v>
      </c>
      <c r="L65" s="316">
        <f>79042</f>
        <v>79042</v>
      </c>
      <c r="M65" s="316">
        <f>1614</f>
        <v>1614</v>
      </c>
      <c r="N65" s="154">
        <f>62191</f>
        <v>62191</v>
      </c>
      <c r="O65" s="154">
        <f>156340</f>
        <v>156340</v>
      </c>
    </row>
    <row r="66" spans="1:15" ht="22.5" customHeight="1" x14ac:dyDescent="0.25">
      <c r="A66" s="42" t="s">
        <v>134</v>
      </c>
      <c r="B66" s="40" t="s">
        <v>135</v>
      </c>
      <c r="C66" s="125" t="s">
        <v>49</v>
      </c>
      <c r="D66" s="67">
        <v>34002</v>
      </c>
      <c r="E66" s="125" t="s">
        <v>83</v>
      </c>
      <c r="F66" s="13">
        <f>SUM(G66:O66)</f>
        <v>0</v>
      </c>
      <c r="G66" s="13"/>
      <c r="H66" s="13"/>
      <c r="I66" s="13"/>
      <c r="J66" s="13"/>
      <c r="K66" s="13"/>
      <c r="L66" s="13"/>
      <c r="M66" s="13"/>
      <c r="N66" s="13"/>
      <c r="O66" s="13"/>
    </row>
    <row r="67" spans="1:15" ht="24.75" customHeight="1" x14ac:dyDescent="0.25">
      <c r="A67" s="42" t="s">
        <v>27</v>
      </c>
      <c r="B67" s="40" t="s">
        <v>100</v>
      </c>
      <c r="C67" s="125" t="s">
        <v>49</v>
      </c>
      <c r="D67" s="67">
        <v>34003</v>
      </c>
      <c r="E67" s="125" t="s">
        <v>84</v>
      </c>
      <c r="F67" s="13">
        <f>SUM(G67:O67)</f>
        <v>0</v>
      </c>
      <c r="G67" s="13"/>
      <c r="H67" s="13"/>
      <c r="I67" s="13"/>
      <c r="J67" s="13"/>
      <c r="K67" s="13"/>
      <c r="L67" s="13"/>
      <c r="M67" s="13"/>
      <c r="N67" s="13"/>
      <c r="O67" s="13"/>
    </row>
    <row r="68" spans="1:15" ht="30.75" customHeight="1" x14ac:dyDescent="0.25">
      <c r="A68" s="42" t="s">
        <v>28</v>
      </c>
      <c r="B68" s="40" t="s">
        <v>100</v>
      </c>
      <c r="C68" s="125" t="s">
        <v>49</v>
      </c>
      <c r="D68" s="67">
        <v>34004</v>
      </c>
      <c r="E68" s="125" t="s">
        <v>85</v>
      </c>
      <c r="F68" s="13">
        <f>SUM(G68:O68)</f>
        <v>0</v>
      </c>
      <c r="G68" s="13"/>
      <c r="H68" s="13"/>
      <c r="I68" s="13"/>
      <c r="J68" s="13"/>
      <c r="K68" s="13"/>
      <c r="L68" s="13"/>
      <c r="M68" s="13"/>
      <c r="N68" s="13"/>
      <c r="O68" s="13"/>
    </row>
    <row r="69" spans="1:15" ht="41.25" customHeight="1" x14ac:dyDescent="0.25">
      <c r="A69" s="951" t="s">
        <v>29</v>
      </c>
      <c r="B69" s="952"/>
      <c r="C69" s="952"/>
      <c r="D69" s="953">
        <v>34099</v>
      </c>
      <c r="E69" s="953"/>
      <c r="F69" s="32">
        <f>SUM(F70:F72)</f>
        <v>0</v>
      </c>
      <c r="G69" s="32">
        <f t="shared" ref="G69:O69" si="31">SUM(G70:G72)</f>
        <v>0</v>
      </c>
      <c r="H69" s="32">
        <f t="shared" si="31"/>
        <v>0</v>
      </c>
      <c r="I69" s="32">
        <f t="shared" si="31"/>
        <v>0</v>
      </c>
      <c r="J69" s="32">
        <f t="shared" si="31"/>
        <v>0</v>
      </c>
      <c r="K69" s="32">
        <f t="shared" si="31"/>
        <v>0</v>
      </c>
      <c r="L69" s="32">
        <f t="shared" ref="L69:M69" si="32">SUM(L70:L72)</f>
        <v>0</v>
      </c>
      <c r="M69" s="32">
        <f t="shared" si="32"/>
        <v>0</v>
      </c>
      <c r="N69" s="32">
        <f t="shared" si="31"/>
        <v>0</v>
      </c>
      <c r="O69" s="32">
        <f t="shared" si="31"/>
        <v>0</v>
      </c>
    </row>
    <row r="70" spans="1:15" ht="20.25" x14ac:dyDescent="0.25">
      <c r="A70" s="42" t="s">
        <v>136</v>
      </c>
      <c r="B70" s="40" t="s">
        <v>100</v>
      </c>
      <c r="C70" s="125" t="s">
        <v>49</v>
      </c>
      <c r="D70" s="67">
        <v>34099</v>
      </c>
      <c r="E70" s="125" t="s">
        <v>137</v>
      </c>
      <c r="F70" s="13">
        <f>SUM(G70:O70)</f>
        <v>0</v>
      </c>
      <c r="G70" s="13"/>
      <c r="H70" s="13"/>
      <c r="I70" s="13"/>
      <c r="J70" s="13"/>
      <c r="K70" s="13"/>
      <c r="L70" s="13"/>
      <c r="M70" s="13"/>
      <c r="N70" s="13"/>
      <c r="O70" s="13"/>
    </row>
    <row r="71" spans="1:15" ht="30.75" x14ac:dyDescent="0.25">
      <c r="A71" s="42" t="s">
        <v>138</v>
      </c>
      <c r="B71" s="40" t="s">
        <v>100</v>
      </c>
      <c r="C71" s="125" t="s">
        <v>49</v>
      </c>
      <c r="D71" s="67">
        <v>34099</v>
      </c>
      <c r="E71" s="125" t="s">
        <v>86</v>
      </c>
      <c r="F71" s="13">
        <f>SUM(G71:O71)</f>
        <v>0</v>
      </c>
      <c r="G71" s="13"/>
      <c r="H71" s="13"/>
      <c r="I71" s="13"/>
      <c r="J71" s="13"/>
      <c r="K71" s="13"/>
      <c r="L71" s="13"/>
      <c r="M71" s="13"/>
      <c r="N71" s="13"/>
      <c r="O71" s="13"/>
    </row>
    <row r="72" spans="1:15" ht="31.5" thickBot="1" x14ac:dyDescent="0.3">
      <c r="A72" s="60" t="s">
        <v>88</v>
      </c>
      <c r="B72" s="61" t="s">
        <v>100</v>
      </c>
      <c r="C72" s="126" t="s">
        <v>49</v>
      </c>
      <c r="D72" s="62">
        <v>34099</v>
      </c>
      <c r="E72" s="126" t="s">
        <v>87</v>
      </c>
      <c r="F72" s="15">
        <f>SUM(G72:O72)</f>
        <v>0</v>
      </c>
      <c r="G72" s="15"/>
      <c r="H72" s="15"/>
      <c r="I72" s="15"/>
      <c r="J72" s="15"/>
      <c r="K72" s="15"/>
      <c r="L72" s="15"/>
      <c r="M72" s="15"/>
      <c r="N72" s="15"/>
      <c r="O72" s="15"/>
    </row>
    <row r="73" spans="1:15" ht="23.25" thickBot="1" x14ac:dyDescent="0.35">
      <c r="A73" s="944" t="s">
        <v>498</v>
      </c>
      <c r="B73" s="945"/>
      <c r="C73" s="945"/>
      <c r="D73" s="945"/>
      <c r="E73" s="946"/>
      <c r="F73" s="172">
        <f>F21+F22+F23+F27+F35+F38+F39+F42+F57</f>
        <v>1927394</v>
      </c>
      <c r="G73" s="4"/>
      <c r="H73" s="4"/>
      <c r="I73" s="4"/>
      <c r="J73" s="4"/>
      <c r="K73" s="4"/>
      <c r="L73" s="4"/>
      <c r="M73" s="4"/>
      <c r="N73" s="4"/>
      <c r="O73" s="4"/>
    </row>
    <row r="74" spans="1:15" ht="15" x14ac:dyDescent="0.2">
      <c r="A74" s="5"/>
      <c r="B74" s="7"/>
      <c r="C74" s="7"/>
      <c r="D74" s="3"/>
      <c r="E74" s="3"/>
      <c r="F74" s="4"/>
      <c r="G74" s="4"/>
      <c r="H74" s="4"/>
      <c r="I74" s="4"/>
      <c r="J74" s="4"/>
      <c r="K74" s="4"/>
      <c r="L74" s="4"/>
      <c r="M74" s="4"/>
      <c r="N74" s="4"/>
      <c r="O74" s="4"/>
    </row>
    <row r="75" spans="1:15" s="12" customFormat="1" ht="18" x14ac:dyDescent="0.25">
      <c r="A75" s="21"/>
      <c r="B75" s="11"/>
      <c r="C75" s="10"/>
      <c r="D75" s="11"/>
      <c r="E75" s="11"/>
    </row>
    <row r="81" spans="14:14" x14ac:dyDescent="0.2">
      <c r="N81" t="s">
        <v>544</v>
      </c>
    </row>
  </sheetData>
  <mergeCells count="52">
    <mergeCell ref="A73:E73"/>
    <mergeCell ref="A58:C58"/>
    <mergeCell ref="D58:E58"/>
    <mergeCell ref="A63:C63"/>
    <mergeCell ref="D63:E63"/>
    <mergeCell ref="A69:C69"/>
    <mergeCell ref="D69:E69"/>
    <mergeCell ref="A49:C49"/>
    <mergeCell ref="D49:E49"/>
    <mergeCell ref="C50:C51"/>
    <mergeCell ref="E50:E51"/>
    <mergeCell ref="A57:C57"/>
    <mergeCell ref="D57:E57"/>
    <mergeCell ref="A34:C34"/>
    <mergeCell ref="D34:E34"/>
    <mergeCell ref="A43:C43"/>
    <mergeCell ref="D43:E43"/>
    <mergeCell ref="A45:C45"/>
    <mergeCell ref="D45:E45"/>
    <mergeCell ref="A20:C20"/>
    <mergeCell ref="D20:E20"/>
    <mergeCell ref="A23:C23"/>
    <mergeCell ref="D23:E23"/>
    <mergeCell ref="A27:C27"/>
    <mergeCell ref="D27:E27"/>
    <mergeCell ref="M8:M11"/>
    <mergeCell ref="A18:C18"/>
    <mergeCell ref="D18:E18"/>
    <mergeCell ref="G8:G11"/>
    <mergeCell ref="H8:H11"/>
    <mergeCell ref="I8:I11"/>
    <mergeCell ref="A12:F12"/>
    <mergeCell ref="A13:E13"/>
    <mergeCell ref="A14:C14"/>
    <mergeCell ref="D14:E14"/>
    <mergeCell ref="I12:K12"/>
    <mergeCell ref="I65:J65"/>
    <mergeCell ref="A1:B1"/>
    <mergeCell ref="D1:E1"/>
    <mergeCell ref="A2:O3"/>
    <mergeCell ref="A5:O6"/>
    <mergeCell ref="A8:A11"/>
    <mergeCell ref="B8:B11"/>
    <mergeCell ref="C8:C11"/>
    <mergeCell ref="D8:D11"/>
    <mergeCell ref="E8:E11"/>
    <mergeCell ref="F8:F11"/>
    <mergeCell ref="O8:O11"/>
    <mergeCell ref="J8:J11"/>
    <mergeCell ref="K8:K11"/>
    <mergeCell ref="N8:N11"/>
    <mergeCell ref="L8:L11"/>
  </mergeCells>
  <pageMargins left="0.70866141732283472" right="0.70866141732283472" top="0.74803149606299213" bottom="0.74803149606299213" header="0.31496062992125984" footer="0.31496062992125984"/>
  <pageSetup paperSize="9" scale="42"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5"/>
  <sheetViews>
    <sheetView zoomScale="66" zoomScaleNormal="66" workbookViewId="0">
      <selection activeCell="N14" sqref="N14"/>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8" width="20.28515625" customWidth="1"/>
    <col min="9" max="12" width="21.42578125" hidden="1" customWidth="1"/>
    <col min="14" max="14" width="20.140625" bestFit="1" customWidth="1"/>
  </cols>
  <sheetData>
    <row r="1" spans="1:12" s="2" customFormat="1" ht="18" x14ac:dyDescent="0.2">
      <c r="A1" s="840"/>
      <c r="B1" s="840"/>
      <c r="C1" s="190"/>
      <c r="D1" s="841"/>
      <c r="E1" s="841"/>
      <c r="F1" s="8"/>
      <c r="G1" s="8"/>
      <c r="H1" s="8"/>
      <c r="I1" s="8"/>
      <c r="J1" s="8"/>
      <c r="K1" s="8"/>
      <c r="L1" s="8"/>
    </row>
    <row r="2" spans="1:12" s="2" customFormat="1" ht="21" customHeight="1" x14ac:dyDescent="0.2">
      <c r="A2" s="846" t="s">
        <v>626</v>
      </c>
      <c r="B2" s="846"/>
      <c r="C2" s="846"/>
      <c r="D2" s="846"/>
      <c r="E2" s="846"/>
      <c r="F2" s="846"/>
      <c r="G2" s="846"/>
      <c r="H2" s="846"/>
      <c r="I2" s="846"/>
      <c r="J2" s="846"/>
      <c r="K2" s="846"/>
      <c r="L2" s="846"/>
    </row>
    <row r="3" spans="1:12" s="2" customFormat="1" ht="30.75" customHeight="1" x14ac:dyDescent="0.2">
      <c r="A3" s="846"/>
      <c r="B3" s="846"/>
      <c r="C3" s="846"/>
      <c r="D3" s="846"/>
      <c r="E3" s="846"/>
      <c r="F3" s="846"/>
      <c r="G3" s="846"/>
      <c r="H3" s="846"/>
      <c r="I3" s="846"/>
      <c r="J3" s="846"/>
      <c r="K3" s="846"/>
      <c r="L3" s="846"/>
    </row>
    <row r="4" spans="1:12" s="2" customFormat="1" ht="9.75" customHeight="1" x14ac:dyDescent="0.4">
      <c r="A4" s="28"/>
      <c r="B4" s="28"/>
      <c r="C4" s="28"/>
      <c r="D4" s="28"/>
      <c r="E4" s="28"/>
      <c r="F4" s="28"/>
      <c r="G4" s="28"/>
      <c r="H4" s="28"/>
      <c r="I4" s="28"/>
      <c r="J4" s="28"/>
      <c r="K4" s="28"/>
      <c r="L4" s="28"/>
    </row>
    <row r="5" spans="1:12" s="2" customFormat="1" ht="15.75" customHeight="1" x14ac:dyDescent="0.2">
      <c r="A5" s="847" t="s">
        <v>666</v>
      </c>
      <c r="B5" s="847"/>
      <c r="C5" s="847"/>
      <c r="D5" s="847"/>
      <c r="E5" s="847"/>
      <c r="F5" s="847"/>
      <c r="G5" s="847"/>
      <c r="H5" s="847"/>
      <c r="I5" s="847"/>
      <c r="J5" s="847"/>
      <c r="K5" s="847"/>
      <c r="L5" s="847"/>
    </row>
    <row r="6" spans="1:12" s="2" customFormat="1" ht="40.5" customHeight="1" x14ac:dyDescent="0.2">
      <c r="A6" s="847"/>
      <c r="B6" s="847"/>
      <c r="C6" s="847"/>
      <c r="D6" s="847"/>
      <c r="E6" s="847"/>
      <c r="F6" s="847"/>
      <c r="G6" s="847"/>
      <c r="H6" s="847"/>
      <c r="I6" s="847"/>
      <c r="J6" s="847"/>
      <c r="K6" s="847"/>
      <c r="L6" s="847"/>
    </row>
    <row r="7" spans="1:12" ht="29.25" customHeight="1" thickBot="1" x14ac:dyDescent="0.45">
      <c r="A7" s="25" t="s">
        <v>32</v>
      </c>
      <c r="B7" s="6"/>
      <c r="C7" s="22"/>
      <c r="D7" s="23"/>
      <c r="E7" s="23"/>
      <c r="F7" s="24"/>
      <c r="G7" s="23"/>
      <c r="H7" s="23"/>
      <c r="I7" s="23"/>
      <c r="J7" s="23"/>
      <c r="K7" s="23"/>
      <c r="L7" s="23"/>
    </row>
    <row r="8" spans="1:12" ht="83.25" customHeight="1" x14ac:dyDescent="0.2">
      <c r="A8" s="842" t="s">
        <v>10</v>
      </c>
      <c r="B8" s="884" t="s">
        <v>95</v>
      </c>
      <c r="C8" s="844" t="s">
        <v>89</v>
      </c>
      <c r="D8" s="844" t="s">
        <v>11</v>
      </c>
      <c r="E8" s="844" t="s">
        <v>62</v>
      </c>
      <c r="F8" s="977" t="s">
        <v>34</v>
      </c>
      <c r="G8" s="979" t="s">
        <v>670</v>
      </c>
      <c r="H8" s="980"/>
      <c r="I8" s="985" t="s">
        <v>553</v>
      </c>
      <c r="J8" s="913" t="s">
        <v>555</v>
      </c>
      <c r="K8" s="913" t="s">
        <v>550</v>
      </c>
      <c r="L8" s="913" t="s">
        <v>551</v>
      </c>
    </row>
    <row r="9" spans="1:12" ht="45.75" customHeight="1" x14ac:dyDescent="0.2">
      <c r="A9" s="843"/>
      <c r="B9" s="885"/>
      <c r="C9" s="845"/>
      <c r="D9" s="845"/>
      <c r="E9" s="845"/>
      <c r="F9" s="978"/>
      <c r="G9" s="981"/>
      <c r="H9" s="982"/>
      <c r="I9" s="986"/>
      <c r="J9" s="914"/>
      <c r="K9" s="914"/>
      <c r="L9" s="914"/>
    </row>
    <row r="10" spans="1:12" ht="76.5" customHeight="1" x14ac:dyDescent="0.2">
      <c r="A10" s="843"/>
      <c r="B10" s="885"/>
      <c r="C10" s="845"/>
      <c r="D10" s="845"/>
      <c r="E10" s="845"/>
      <c r="F10" s="978"/>
      <c r="G10" s="983"/>
      <c r="H10" s="984"/>
      <c r="I10" s="986"/>
      <c r="J10" s="914"/>
      <c r="K10" s="914"/>
      <c r="L10" s="914"/>
    </row>
    <row r="11" spans="1:12" ht="171.75" customHeight="1" thickBot="1" x14ac:dyDescent="0.25">
      <c r="A11" s="917"/>
      <c r="B11" s="885"/>
      <c r="C11" s="918"/>
      <c r="D11" s="918"/>
      <c r="E11" s="918"/>
      <c r="F11" s="978"/>
      <c r="G11" s="200" t="s">
        <v>667</v>
      </c>
      <c r="H11" s="201" t="s">
        <v>669</v>
      </c>
      <c r="I11" s="986"/>
      <c r="J11" s="914"/>
      <c r="K11" s="914"/>
      <c r="L11" s="914"/>
    </row>
    <row r="12" spans="1:12" s="31" customFormat="1" ht="48.75" customHeight="1" thickBot="1" x14ac:dyDescent="0.4">
      <c r="A12" s="925" t="s">
        <v>38</v>
      </c>
      <c r="B12" s="926"/>
      <c r="C12" s="926"/>
      <c r="D12" s="926"/>
      <c r="E12" s="926"/>
      <c r="F12" s="927"/>
      <c r="G12" s="164" t="s">
        <v>668</v>
      </c>
      <c r="H12" s="179" t="s">
        <v>671</v>
      </c>
      <c r="I12" s="193" t="s">
        <v>554</v>
      </c>
      <c r="J12" s="164" t="s">
        <v>556</v>
      </c>
      <c r="K12" s="164" t="s">
        <v>549</v>
      </c>
      <c r="L12" s="164" t="s">
        <v>549</v>
      </c>
    </row>
    <row r="13" spans="1:12" ht="43.5" customHeight="1" x14ac:dyDescent="0.3">
      <c r="A13" s="928" t="s">
        <v>15</v>
      </c>
      <c r="B13" s="929"/>
      <c r="C13" s="929"/>
      <c r="D13" s="929"/>
      <c r="E13" s="929"/>
      <c r="F13" s="165">
        <f>F14+F20+F45+F47+F50+F57</f>
        <v>0</v>
      </c>
      <c r="G13" s="165">
        <f t="shared" ref="G13:L13" si="0">G14+G20+G47+G50+G57+G45</f>
        <v>0</v>
      </c>
      <c r="H13" s="180">
        <f t="shared" si="0"/>
        <v>0</v>
      </c>
      <c r="I13" s="194">
        <f t="shared" si="0"/>
        <v>0</v>
      </c>
      <c r="J13" s="165">
        <f t="shared" si="0"/>
        <v>0</v>
      </c>
      <c r="K13" s="165">
        <f t="shared" si="0"/>
        <v>0</v>
      </c>
      <c r="L13" s="165">
        <f t="shared" si="0"/>
        <v>0</v>
      </c>
    </row>
    <row r="14" spans="1:12" ht="42.75" customHeight="1" x14ac:dyDescent="0.3">
      <c r="A14" s="864" t="s">
        <v>94</v>
      </c>
      <c r="B14" s="865"/>
      <c r="C14" s="866"/>
      <c r="D14" s="874">
        <v>210</v>
      </c>
      <c r="E14" s="875"/>
      <c r="F14" s="47">
        <f t="shared" ref="F14:F19" si="1">SUM(G14:L14)</f>
        <v>0</v>
      </c>
      <c r="G14" s="47">
        <f t="shared" ref="G14:L14" si="2">G15+G16+G17+G18</f>
        <v>0</v>
      </c>
      <c r="H14" s="56">
        <f t="shared" si="2"/>
        <v>0</v>
      </c>
      <c r="I14" s="111">
        <f t="shared" si="2"/>
        <v>0</v>
      </c>
      <c r="J14" s="47">
        <f t="shared" si="2"/>
        <v>0</v>
      </c>
      <c r="K14" s="47">
        <f t="shared" si="2"/>
        <v>0</v>
      </c>
      <c r="L14" s="47">
        <f t="shared" si="2"/>
        <v>0</v>
      </c>
    </row>
    <row r="15" spans="1:12" ht="36" customHeight="1" x14ac:dyDescent="0.25">
      <c r="A15" s="156" t="s">
        <v>16</v>
      </c>
      <c r="B15" s="40" t="s">
        <v>96</v>
      </c>
      <c r="C15" s="192" t="s">
        <v>47</v>
      </c>
      <c r="D15" s="67">
        <v>21101</v>
      </c>
      <c r="E15" s="192" t="s">
        <v>90</v>
      </c>
      <c r="F15" s="13">
        <f t="shared" si="1"/>
        <v>0</v>
      </c>
      <c r="G15" s="13"/>
      <c r="H15" s="18"/>
      <c r="I15" s="112"/>
      <c r="J15" s="13"/>
      <c r="K15" s="13"/>
      <c r="L15" s="13"/>
    </row>
    <row r="16" spans="1:12" ht="35.25" customHeight="1" thickBot="1" x14ac:dyDescent="0.3">
      <c r="A16" s="199" t="s">
        <v>17</v>
      </c>
      <c r="B16" s="61" t="s">
        <v>97</v>
      </c>
      <c r="C16" s="126" t="s">
        <v>48</v>
      </c>
      <c r="D16" s="62">
        <v>21300</v>
      </c>
      <c r="E16" s="126" t="s">
        <v>18</v>
      </c>
      <c r="F16" s="15">
        <f t="shared" si="1"/>
        <v>0</v>
      </c>
      <c r="G16" s="15"/>
      <c r="H16" s="19"/>
      <c r="I16" s="112"/>
      <c r="J16" s="13"/>
      <c r="K16" s="13"/>
      <c r="L16" s="13"/>
    </row>
    <row r="17" spans="1:12" ht="36" hidden="1" customHeight="1" thickBot="1" x14ac:dyDescent="0.3">
      <c r="A17" s="195" t="s">
        <v>98</v>
      </c>
      <c r="B17" s="196" t="s">
        <v>99</v>
      </c>
      <c r="C17" s="191" t="s">
        <v>48</v>
      </c>
      <c r="D17" s="197">
        <v>21300</v>
      </c>
      <c r="E17" s="191" t="s">
        <v>18</v>
      </c>
      <c r="F17" s="198">
        <f t="shared" si="1"/>
        <v>0</v>
      </c>
      <c r="G17" s="198"/>
      <c r="H17" s="198"/>
      <c r="I17" s="13"/>
      <c r="J17" s="13"/>
      <c r="K17" s="13"/>
      <c r="L17" s="13"/>
    </row>
    <row r="18" spans="1:12" ht="29.25" hidden="1" customHeight="1" x14ac:dyDescent="0.3">
      <c r="A18" s="862" t="s">
        <v>12</v>
      </c>
      <c r="B18" s="863"/>
      <c r="C18" s="863"/>
      <c r="D18" s="860">
        <v>212</v>
      </c>
      <c r="E18" s="861"/>
      <c r="F18" s="44">
        <f t="shared" si="1"/>
        <v>0</v>
      </c>
      <c r="G18" s="44">
        <f t="shared" ref="G18:L18" si="3">G19</f>
        <v>0</v>
      </c>
      <c r="H18" s="44">
        <f t="shared" si="3"/>
        <v>0</v>
      </c>
      <c r="I18" s="44">
        <f t="shared" si="3"/>
        <v>0</v>
      </c>
      <c r="J18" s="44">
        <f t="shared" si="3"/>
        <v>0</v>
      </c>
      <c r="K18" s="44">
        <f t="shared" si="3"/>
        <v>0</v>
      </c>
      <c r="L18" s="44">
        <f t="shared" si="3"/>
        <v>0</v>
      </c>
    </row>
    <row r="19" spans="1:12" ht="34.5" hidden="1" customHeight="1" x14ac:dyDescent="0.3">
      <c r="A19" s="57" t="s">
        <v>112</v>
      </c>
      <c r="B19" s="39" t="s">
        <v>100</v>
      </c>
      <c r="C19" s="38">
        <v>112</v>
      </c>
      <c r="D19" s="41">
        <v>21201</v>
      </c>
      <c r="E19" s="192" t="s">
        <v>59</v>
      </c>
      <c r="F19" s="13">
        <f t="shared" si="1"/>
        <v>0</v>
      </c>
      <c r="G19" s="13"/>
      <c r="H19" s="13"/>
      <c r="I19" s="14"/>
      <c r="J19" s="14"/>
      <c r="K19" s="14"/>
      <c r="L19" s="14"/>
    </row>
    <row r="20" spans="1:12" ht="27.75" hidden="1" customHeight="1" x14ac:dyDescent="0.3">
      <c r="A20" s="864" t="s">
        <v>92</v>
      </c>
      <c r="B20" s="865"/>
      <c r="C20" s="866"/>
      <c r="D20" s="867">
        <v>220</v>
      </c>
      <c r="E20" s="868"/>
      <c r="F20" s="45">
        <f>F21+F22+F23+F28+F35</f>
        <v>0</v>
      </c>
      <c r="G20" s="45">
        <f t="shared" ref="G20:L20" si="4">G21+G22+G23+G28+G35</f>
        <v>0</v>
      </c>
      <c r="H20" s="45">
        <f t="shared" si="4"/>
        <v>0</v>
      </c>
      <c r="I20" s="45">
        <f t="shared" si="4"/>
        <v>0</v>
      </c>
      <c r="J20" s="45">
        <f t="shared" si="4"/>
        <v>0</v>
      </c>
      <c r="K20" s="45">
        <f t="shared" si="4"/>
        <v>0</v>
      </c>
      <c r="L20" s="45">
        <f t="shared" si="4"/>
        <v>0</v>
      </c>
    </row>
    <row r="21" spans="1:12" ht="29.25" hidden="1" customHeight="1" x14ac:dyDescent="0.25">
      <c r="A21" s="51" t="s">
        <v>0</v>
      </c>
      <c r="B21" s="52" t="s">
        <v>100</v>
      </c>
      <c r="C21" s="53" t="s">
        <v>49</v>
      </c>
      <c r="D21" s="54">
        <v>22100</v>
      </c>
      <c r="E21" s="53" t="s">
        <v>113</v>
      </c>
      <c r="F21" s="48">
        <f>SUM(G21:L21)</f>
        <v>0</v>
      </c>
      <c r="G21" s="48"/>
      <c r="H21" s="48"/>
      <c r="I21" s="48"/>
      <c r="J21" s="48"/>
      <c r="K21" s="48"/>
      <c r="L21" s="48"/>
    </row>
    <row r="22" spans="1:12" ht="27" hidden="1" customHeight="1" x14ac:dyDescent="0.25">
      <c r="A22" s="51" t="s">
        <v>93</v>
      </c>
      <c r="B22" s="52" t="s">
        <v>100</v>
      </c>
      <c r="C22" s="53" t="s">
        <v>49</v>
      </c>
      <c r="D22" s="54">
        <v>22299</v>
      </c>
      <c r="E22" s="53" t="s">
        <v>60</v>
      </c>
      <c r="F22" s="48">
        <f>SUM(G22:L22)</f>
        <v>0</v>
      </c>
      <c r="G22" s="48"/>
      <c r="H22" s="48"/>
      <c r="I22" s="48"/>
      <c r="J22" s="48"/>
      <c r="K22" s="48"/>
      <c r="L22" s="48"/>
    </row>
    <row r="23" spans="1:12" ht="31.5" hidden="1" customHeight="1" x14ac:dyDescent="0.3">
      <c r="A23" s="857" t="s">
        <v>19</v>
      </c>
      <c r="B23" s="858"/>
      <c r="C23" s="859"/>
      <c r="D23" s="900">
        <v>223</v>
      </c>
      <c r="E23" s="901"/>
      <c r="F23" s="48">
        <f>SUM(F24:F27)</f>
        <v>0</v>
      </c>
      <c r="G23" s="48">
        <f t="shared" ref="G23:L23" si="5">SUM(G24:G27)</f>
        <v>0</v>
      </c>
      <c r="H23" s="48">
        <f t="shared" si="5"/>
        <v>0</v>
      </c>
      <c r="I23" s="48">
        <f t="shared" si="5"/>
        <v>0</v>
      </c>
      <c r="J23" s="48">
        <f t="shared" si="5"/>
        <v>0</v>
      </c>
      <c r="K23" s="48">
        <f t="shared" si="5"/>
        <v>0</v>
      </c>
      <c r="L23" s="48">
        <f t="shared" si="5"/>
        <v>0</v>
      </c>
    </row>
    <row r="24" spans="1:12" ht="24.75" hidden="1" customHeight="1" x14ac:dyDescent="0.25">
      <c r="A24" s="37" t="s">
        <v>20</v>
      </c>
      <c r="B24" s="40" t="s">
        <v>102</v>
      </c>
      <c r="C24" s="192" t="s">
        <v>543</v>
      </c>
      <c r="D24" s="67">
        <v>22301</v>
      </c>
      <c r="E24" s="192" t="s">
        <v>69</v>
      </c>
      <c r="F24" s="13">
        <f>SUM(G24:L24)</f>
        <v>0</v>
      </c>
      <c r="G24" s="13"/>
      <c r="H24" s="13"/>
      <c r="I24" s="13"/>
      <c r="J24" s="13"/>
      <c r="K24" s="13"/>
      <c r="L24" s="13"/>
    </row>
    <row r="25" spans="1:12" ht="33.75" hidden="1" customHeight="1" x14ac:dyDescent="0.25">
      <c r="A25" s="20" t="s">
        <v>5</v>
      </c>
      <c r="B25" s="40" t="s">
        <v>102</v>
      </c>
      <c r="C25" s="192" t="s">
        <v>49</v>
      </c>
      <c r="D25" s="67">
        <v>22302</v>
      </c>
      <c r="E25" s="192" t="s">
        <v>69</v>
      </c>
      <c r="F25" s="13">
        <f>SUM(G25:L25)</f>
        <v>0</v>
      </c>
      <c r="G25" s="13"/>
      <c r="H25" s="13"/>
      <c r="I25" s="13"/>
      <c r="J25" s="13"/>
      <c r="K25" s="13"/>
      <c r="L25" s="13"/>
    </row>
    <row r="26" spans="1:12" ht="31.5" hidden="1" customHeight="1" x14ac:dyDescent="0.25">
      <c r="A26" s="37" t="s">
        <v>21</v>
      </c>
      <c r="B26" s="40" t="s">
        <v>102</v>
      </c>
      <c r="C26" s="192" t="s">
        <v>543</v>
      </c>
      <c r="D26" s="67">
        <v>22303</v>
      </c>
      <c r="E26" s="192" t="s">
        <v>69</v>
      </c>
      <c r="F26" s="13">
        <f>SUM(G26:L26)</f>
        <v>0</v>
      </c>
      <c r="G26" s="13"/>
      <c r="H26" s="13"/>
      <c r="I26" s="13"/>
      <c r="J26" s="13"/>
      <c r="K26" s="13"/>
      <c r="L26" s="13"/>
    </row>
    <row r="27" spans="1:12" ht="31.5" hidden="1" customHeight="1" x14ac:dyDescent="0.25">
      <c r="A27" s="37" t="s">
        <v>665</v>
      </c>
      <c r="B27" s="40" t="s">
        <v>102</v>
      </c>
      <c r="C27" s="192" t="s">
        <v>49</v>
      </c>
      <c r="D27" s="67">
        <v>22304</v>
      </c>
      <c r="E27" s="192" t="s">
        <v>69</v>
      </c>
      <c r="F27" s="13">
        <f>SUM(G27:L27)</f>
        <v>0</v>
      </c>
      <c r="G27" s="13"/>
      <c r="H27" s="13"/>
      <c r="I27" s="13"/>
      <c r="J27" s="13"/>
      <c r="K27" s="13"/>
      <c r="L27" s="13"/>
    </row>
    <row r="28" spans="1:12" ht="36" hidden="1" customHeight="1" x14ac:dyDescent="0.3">
      <c r="A28" s="857" t="s">
        <v>103</v>
      </c>
      <c r="B28" s="858"/>
      <c r="C28" s="859"/>
      <c r="D28" s="860">
        <v>225</v>
      </c>
      <c r="E28" s="861"/>
      <c r="F28" s="48">
        <f>SUM(F29:F34)</f>
        <v>0</v>
      </c>
      <c r="G28" s="48">
        <f t="shared" ref="G28:L28" si="6">SUM(G29:G31)</f>
        <v>0</v>
      </c>
      <c r="H28" s="48">
        <f t="shared" si="6"/>
        <v>0</v>
      </c>
      <c r="I28" s="48">
        <f t="shared" si="6"/>
        <v>0</v>
      </c>
      <c r="J28" s="48">
        <f t="shared" si="6"/>
        <v>0</v>
      </c>
      <c r="K28" s="48">
        <f t="shared" si="6"/>
        <v>0</v>
      </c>
      <c r="L28" s="48">
        <f t="shared" si="6"/>
        <v>0</v>
      </c>
    </row>
    <row r="29" spans="1:12" ht="35.25" hidden="1" customHeight="1" x14ac:dyDescent="0.25">
      <c r="A29" s="42" t="s">
        <v>54</v>
      </c>
      <c r="B29" s="40" t="s">
        <v>100</v>
      </c>
      <c r="C29" s="192" t="s">
        <v>49</v>
      </c>
      <c r="D29" s="67">
        <v>22501</v>
      </c>
      <c r="E29" s="192" t="s">
        <v>104</v>
      </c>
      <c r="F29" s="13">
        <f t="shared" ref="F29:F44" si="7">SUM(G29:L29)</f>
        <v>0</v>
      </c>
      <c r="G29" s="13"/>
      <c r="H29" s="13"/>
      <c r="I29" s="13"/>
      <c r="J29" s="13"/>
      <c r="K29" s="13"/>
      <c r="L29" s="13"/>
    </row>
    <row r="30" spans="1:12" ht="23.25" hidden="1" customHeight="1" x14ac:dyDescent="0.25">
      <c r="A30" s="42" t="s">
        <v>58</v>
      </c>
      <c r="B30" s="40" t="s">
        <v>100</v>
      </c>
      <c r="C30" s="192" t="s">
        <v>49</v>
      </c>
      <c r="D30" s="67">
        <v>22502</v>
      </c>
      <c r="E30" s="192" t="s">
        <v>104</v>
      </c>
      <c r="F30" s="13">
        <f t="shared" si="7"/>
        <v>0</v>
      </c>
      <c r="G30" s="13"/>
      <c r="H30" s="13"/>
      <c r="I30" s="13"/>
      <c r="J30" s="13"/>
      <c r="K30" s="13"/>
      <c r="L30" s="13"/>
    </row>
    <row r="31" spans="1:12" ht="24.75" hidden="1" customHeight="1" x14ac:dyDescent="0.25">
      <c r="A31" s="43" t="s">
        <v>56</v>
      </c>
      <c r="B31" s="40" t="s">
        <v>100</v>
      </c>
      <c r="C31" s="192" t="s">
        <v>49</v>
      </c>
      <c r="D31" s="67">
        <v>22503</v>
      </c>
      <c r="E31" s="192" t="s">
        <v>104</v>
      </c>
      <c r="F31" s="13">
        <f t="shared" si="7"/>
        <v>0</v>
      </c>
      <c r="G31" s="13"/>
      <c r="H31" s="13"/>
      <c r="I31" s="13"/>
      <c r="J31" s="13"/>
      <c r="K31" s="13"/>
      <c r="L31" s="13"/>
    </row>
    <row r="32" spans="1:12" ht="32.25" hidden="1" customHeight="1" x14ac:dyDescent="0.25">
      <c r="A32" s="43" t="s">
        <v>57</v>
      </c>
      <c r="B32" s="40" t="s">
        <v>100</v>
      </c>
      <c r="C32" s="192" t="s">
        <v>49</v>
      </c>
      <c r="D32" s="67">
        <v>22504</v>
      </c>
      <c r="E32" s="192" t="s">
        <v>104</v>
      </c>
      <c r="F32" s="13">
        <f t="shared" si="7"/>
        <v>0</v>
      </c>
      <c r="G32" s="13"/>
      <c r="H32" s="13"/>
      <c r="I32" s="13"/>
      <c r="J32" s="13"/>
      <c r="K32" s="13"/>
      <c r="L32" s="13"/>
    </row>
    <row r="33" spans="1:12" ht="25.5" hidden="1" customHeight="1" x14ac:dyDescent="0.25">
      <c r="A33" s="42" t="s">
        <v>55</v>
      </c>
      <c r="B33" s="40" t="s">
        <v>100</v>
      </c>
      <c r="C33" s="192" t="s">
        <v>49</v>
      </c>
      <c r="D33" s="67">
        <v>22505</v>
      </c>
      <c r="E33" s="192" t="s">
        <v>104</v>
      </c>
      <c r="F33" s="13">
        <f t="shared" si="7"/>
        <v>0</v>
      </c>
      <c r="G33" s="13"/>
      <c r="H33" s="13"/>
      <c r="I33" s="13"/>
      <c r="J33" s="13"/>
      <c r="K33" s="13"/>
      <c r="L33" s="13"/>
    </row>
    <row r="34" spans="1:12" ht="34.5" hidden="1" customHeight="1" x14ac:dyDescent="0.25">
      <c r="A34" s="42" t="s">
        <v>22</v>
      </c>
      <c r="B34" s="40" t="s">
        <v>100</v>
      </c>
      <c r="C34" s="192" t="s">
        <v>49</v>
      </c>
      <c r="D34" s="67">
        <v>22599</v>
      </c>
      <c r="E34" s="192" t="s">
        <v>104</v>
      </c>
      <c r="F34" s="13">
        <f t="shared" si="7"/>
        <v>0</v>
      </c>
      <c r="G34" s="13"/>
      <c r="H34" s="13"/>
      <c r="I34" s="13"/>
      <c r="J34" s="13"/>
      <c r="K34" s="13"/>
      <c r="L34" s="13"/>
    </row>
    <row r="35" spans="1:12" ht="28.5" hidden="1" customHeight="1" x14ac:dyDescent="0.3">
      <c r="A35" s="862" t="s">
        <v>109</v>
      </c>
      <c r="B35" s="863"/>
      <c r="C35" s="863"/>
      <c r="D35" s="860">
        <v>226</v>
      </c>
      <c r="E35" s="861"/>
      <c r="F35" s="44">
        <f t="shared" si="7"/>
        <v>0</v>
      </c>
      <c r="G35" s="44">
        <f t="shared" ref="G35:L35" si="8">SUM(G36:G44)</f>
        <v>0</v>
      </c>
      <c r="H35" s="44">
        <f t="shared" si="8"/>
        <v>0</v>
      </c>
      <c r="I35" s="44">
        <f t="shared" si="8"/>
        <v>0</v>
      </c>
      <c r="J35" s="44">
        <f t="shared" si="8"/>
        <v>0</v>
      </c>
      <c r="K35" s="44">
        <f t="shared" si="8"/>
        <v>0</v>
      </c>
      <c r="L35" s="44">
        <f t="shared" si="8"/>
        <v>0</v>
      </c>
    </row>
    <row r="36" spans="1:12" ht="24" hidden="1" customHeight="1" x14ac:dyDescent="0.25">
      <c r="A36" s="43" t="s">
        <v>33</v>
      </c>
      <c r="B36" s="40" t="s">
        <v>100</v>
      </c>
      <c r="C36" s="192" t="s">
        <v>49</v>
      </c>
      <c r="D36" s="67">
        <v>22601</v>
      </c>
      <c r="E36" s="192" t="s">
        <v>110</v>
      </c>
      <c r="F36" s="13">
        <f t="shared" si="7"/>
        <v>0</v>
      </c>
      <c r="G36" s="13"/>
      <c r="H36" s="13"/>
      <c r="I36" s="13"/>
      <c r="J36" s="13"/>
      <c r="K36" s="13"/>
      <c r="L36" s="13"/>
    </row>
    <row r="37" spans="1:12" ht="31.5" hidden="1" customHeight="1" x14ac:dyDescent="0.25">
      <c r="A37" s="42" t="s">
        <v>111</v>
      </c>
      <c r="B37" s="40" t="s">
        <v>100</v>
      </c>
      <c r="C37" s="192" t="s">
        <v>50</v>
      </c>
      <c r="D37" s="67">
        <v>22602</v>
      </c>
      <c r="E37" s="192" t="s">
        <v>110</v>
      </c>
      <c r="F37" s="13">
        <f t="shared" si="7"/>
        <v>0</v>
      </c>
      <c r="G37" s="13"/>
      <c r="H37" s="13"/>
      <c r="I37" s="13"/>
      <c r="J37" s="13"/>
      <c r="K37" s="13"/>
      <c r="L37" s="13"/>
    </row>
    <row r="38" spans="1:12" ht="34.5" hidden="1" customHeight="1" x14ac:dyDescent="0.25">
      <c r="A38" s="42" t="s">
        <v>114</v>
      </c>
      <c r="B38" s="40" t="s">
        <v>100</v>
      </c>
      <c r="C38" s="192" t="s">
        <v>48</v>
      </c>
      <c r="D38" s="67">
        <v>22602</v>
      </c>
      <c r="E38" s="192" t="s">
        <v>110</v>
      </c>
      <c r="F38" s="13">
        <f t="shared" si="7"/>
        <v>0</v>
      </c>
      <c r="G38" s="13"/>
      <c r="H38" s="13"/>
      <c r="I38" s="13"/>
      <c r="J38" s="13"/>
      <c r="K38" s="13"/>
      <c r="L38" s="13"/>
    </row>
    <row r="39" spans="1:12" ht="32.25" hidden="1" customHeight="1" x14ac:dyDescent="0.25">
      <c r="A39" s="182" t="s">
        <v>25</v>
      </c>
      <c r="B39" s="40" t="s">
        <v>100</v>
      </c>
      <c r="C39" s="192" t="s">
        <v>48</v>
      </c>
      <c r="D39" s="67">
        <v>22699</v>
      </c>
      <c r="E39" s="192" t="s">
        <v>110</v>
      </c>
      <c r="F39" s="13">
        <f t="shared" si="7"/>
        <v>0</v>
      </c>
      <c r="G39" s="13"/>
      <c r="H39" s="13"/>
      <c r="I39" s="13"/>
      <c r="J39" s="13"/>
      <c r="K39" s="13"/>
      <c r="L39" s="13"/>
    </row>
    <row r="40" spans="1:12" ht="22.5" hidden="1" customHeight="1" x14ac:dyDescent="0.25">
      <c r="A40" s="42" t="s">
        <v>23</v>
      </c>
      <c r="B40" s="40" t="s">
        <v>100</v>
      </c>
      <c r="C40" s="192" t="s">
        <v>49</v>
      </c>
      <c r="D40" s="67">
        <v>22603</v>
      </c>
      <c r="E40" s="192" t="s">
        <v>110</v>
      </c>
      <c r="F40" s="13">
        <f t="shared" si="7"/>
        <v>0</v>
      </c>
      <c r="G40" s="13"/>
      <c r="H40" s="13"/>
      <c r="I40" s="13"/>
      <c r="J40" s="13"/>
      <c r="K40" s="13"/>
      <c r="L40" s="13"/>
    </row>
    <row r="41" spans="1:12" ht="34.5" hidden="1" customHeight="1" x14ac:dyDescent="0.25">
      <c r="A41" s="42" t="s">
        <v>24</v>
      </c>
      <c r="B41" s="40" t="s">
        <v>100</v>
      </c>
      <c r="C41" s="192" t="s">
        <v>49</v>
      </c>
      <c r="D41" s="67">
        <v>22605</v>
      </c>
      <c r="E41" s="192" t="s">
        <v>110</v>
      </c>
      <c r="F41" s="13">
        <f t="shared" si="7"/>
        <v>0</v>
      </c>
      <c r="G41" s="13"/>
      <c r="H41" s="13"/>
      <c r="I41" s="13"/>
      <c r="J41" s="13"/>
      <c r="K41" s="13"/>
      <c r="L41" s="13"/>
    </row>
    <row r="42" spans="1:12" ht="51" hidden="1" customHeight="1" x14ac:dyDescent="0.25">
      <c r="A42" s="42" t="s">
        <v>116</v>
      </c>
      <c r="B42" s="40" t="s">
        <v>100</v>
      </c>
      <c r="C42" s="192" t="s">
        <v>50</v>
      </c>
      <c r="D42" s="67">
        <v>22606</v>
      </c>
      <c r="E42" s="192" t="s">
        <v>110</v>
      </c>
      <c r="F42" s="13">
        <f t="shared" si="7"/>
        <v>0</v>
      </c>
      <c r="G42" s="13"/>
      <c r="H42" s="13"/>
      <c r="I42" s="13"/>
      <c r="J42" s="13"/>
      <c r="K42" s="13"/>
      <c r="L42" s="13"/>
    </row>
    <row r="43" spans="1:12" ht="49.5" hidden="1" customHeight="1" x14ac:dyDescent="0.25">
      <c r="A43" s="42" t="s">
        <v>117</v>
      </c>
      <c r="B43" s="40" t="s">
        <v>100</v>
      </c>
      <c r="C43" s="192" t="s">
        <v>50</v>
      </c>
      <c r="D43" s="67">
        <v>22699</v>
      </c>
      <c r="E43" s="192" t="s">
        <v>110</v>
      </c>
      <c r="F43" s="13">
        <f t="shared" si="7"/>
        <v>0</v>
      </c>
      <c r="G43" s="13"/>
      <c r="H43" s="13"/>
      <c r="I43" s="13"/>
      <c r="J43" s="13"/>
      <c r="K43" s="13"/>
      <c r="L43" s="13"/>
    </row>
    <row r="44" spans="1:12" ht="32.25" hidden="1" customHeight="1" x14ac:dyDescent="0.25">
      <c r="A44" s="182" t="s">
        <v>25</v>
      </c>
      <c r="B44" s="40" t="s">
        <v>100</v>
      </c>
      <c r="C44" s="192" t="s">
        <v>49</v>
      </c>
      <c r="D44" s="67">
        <v>22699</v>
      </c>
      <c r="E44" s="192" t="s">
        <v>110</v>
      </c>
      <c r="F44" s="13">
        <f t="shared" si="7"/>
        <v>0</v>
      </c>
      <c r="G44" s="13"/>
      <c r="H44" s="13"/>
      <c r="I44" s="13"/>
      <c r="J44" s="13"/>
      <c r="K44" s="13"/>
      <c r="L44" s="13"/>
    </row>
    <row r="45" spans="1:12" ht="28.5" hidden="1" customHeight="1" x14ac:dyDescent="0.3">
      <c r="A45" s="872" t="s">
        <v>499</v>
      </c>
      <c r="B45" s="873"/>
      <c r="C45" s="873"/>
      <c r="D45" s="874">
        <v>26300</v>
      </c>
      <c r="E45" s="875"/>
      <c r="F45" s="45">
        <f t="shared" ref="F45" si="9">SUM(F46)</f>
        <v>0</v>
      </c>
      <c r="G45" s="45">
        <f t="shared" ref="G45:L45" si="10">G46</f>
        <v>0</v>
      </c>
      <c r="H45" s="45">
        <f t="shared" si="10"/>
        <v>0</v>
      </c>
      <c r="I45" s="45">
        <f t="shared" si="10"/>
        <v>0</v>
      </c>
      <c r="J45" s="45">
        <f t="shared" si="10"/>
        <v>0</v>
      </c>
      <c r="K45" s="45">
        <f t="shared" si="10"/>
        <v>0</v>
      </c>
      <c r="L45" s="45">
        <f t="shared" si="10"/>
        <v>0</v>
      </c>
    </row>
    <row r="46" spans="1:12" ht="21.75" hidden="1" customHeight="1" x14ac:dyDescent="0.25">
      <c r="A46" s="42" t="s">
        <v>500</v>
      </c>
      <c r="B46" s="40" t="s">
        <v>100</v>
      </c>
      <c r="C46" s="192" t="s">
        <v>281</v>
      </c>
      <c r="D46" s="67">
        <v>26300</v>
      </c>
      <c r="E46" s="192" t="s">
        <v>501</v>
      </c>
      <c r="F46" s="13">
        <f>SUM(G46:L46)</f>
        <v>0</v>
      </c>
      <c r="G46" s="13"/>
      <c r="H46" s="13"/>
      <c r="I46" s="13"/>
      <c r="J46" s="13"/>
      <c r="K46" s="13"/>
      <c r="L46" s="13"/>
    </row>
    <row r="47" spans="1:12" ht="28.5" hidden="1" customHeight="1" x14ac:dyDescent="0.3">
      <c r="A47" s="872" t="s">
        <v>121</v>
      </c>
      <c r="B47" s="873"/>
      <c r="C47" s="873"/>
      <c r="D47" s="874">
        <v>266</v>
      </c>
      <c r="E47" s="875"/>
      <c r="F47" s="45">
        <f>SUM(G47:L47)</f>
        <v>0</v>
      </c>
      <c r="G47" s="45">
        <f t="shared" ref="G47:L47" si="11">SUM(G48:G49)</f>
        <v>0</v>
      </c>
      <c r="H47" s="45">
        <f t="shared" si="11"/>
        <v>0</v>
      </c>
      <c r="I47" s="45">
        <f t="shared" si="11"/>
        <v>0</v>
      </c>
      <c r="J47" s="45">
        <f t="shared" si="11"/>
        <v>0</v>
      </c>
      <c r="K47" s="45">
        <f t="shared" si="11"/>
        <v>0</v>
      </c>
      <c r="L47" s="45">
        <f t="shared" si="11"/>
        <v>0</v>
      </c>
    </row>
    <row r="48" spans="1:12" ht="39.75" hidden="1" customHeight="1" x14ac:dyDescent="0.25">
      <c r="A48" s="42" t="s">
        <v>118</v>
      </c>
      <c r="B48" s="40" t="s">
        <v>96</v>
      </c>
      <c r="C48" s="192" t="s">
        <v>47</v>
      </c>
      <c r="D48" s="67">
        <v>26600</v>
      </c>
      <c r="E48" s="192" t="s">
        <v>91</v>
      </c>
      <c r="F48" s="13">
        <f>SUM(G48:L48)</f>
        <v>0</v>
      </c>
      <c r="G48" s="13"/>
      <c r="H48" s="13"/>
      <c r="I48" s="13"/>
      <c r="J48" s="13"/>
      <c r="K48" s="13"/>
      <c r="L48" s="13"/>
    </row>
    <row r="49" spans="1:12" ht="52.5" hidden="1" customHeight="1" x14ac:dyDescent="0.25">
      <c r="A49" s="42" t="s">
        <v>120</v>
      </c>
      <c r="B49" s="40" t="s">
        <v>99</v>
      </c>
      <c r="C49" s="192" t="s">
        <v>50</v>
      </c>
      <c r="D49" s="67">
        <v>26602</v>
      </c>
      <c r="E49" s="192" t="s">
        <v>91</v>
      </c>
      <c r="F49" s="13">
        <f>SUM(G49:L49)</f>
        <v>0</v>
      </c>
      <c r="G49" s="13"/>
      <c r="H49" s="13"/>
      <c r="I49" s="13"/>
      <c r="J49" s="13"/>
      <c r="K49" s="13"/>
      <c r="L49" s="13"/>
    </row>
    <row r="50" spans="1:12" s="1" customFormat="1" ht="26.25" hidden="1" customHeight="1" x14ac:dyDescent="0.3">
      <c r="A50" s="864" t="s">
        <v>31</v>
      </c>
      <c r="B50" s="865"/>
      <c r="C50" s="865"/>
      <c r="D50" s="874">
        <v>290</v>
      </c>
      <c r="E50" s="875"/>
      <c r="F50" s="45">
        <f>SUM(F51:F56)</f>
        <v>0</v>
      </c>
      <c r="G50" s="45">
        <f t="shared" ref="G50:L50" si="12">SUM(G51:G56)</f>
        <v>0</v>
      </c>
      <c r="H50" s="45">
        <f t="shared" si="12"/>
        <v>0</v>
      </c>
      <c r="I50" s="45">
        <f t="shared" si="12"/>
        <v>0</v>
      </c>
      <c r="J50" s="45">
        <f t="shared" si="12"/>
        <v>0</v>
      </c>
      <c r="K50" s="45">
        <f t="shared" si="12"/>
        <v>0</v>
      </c>
      <c r="L50" s="45">
        <f t="shared" si="12"/>
        <v>0</v>
      </c>
    </row>
    <row r="51" spans="1:12" ht="30.75" hidden="1" customHeight="1" x14ac:dyDescent="0.25">
      <c r="A51" s="27" t="s">
        <v>513</v>
      </c>
      <c r="B51" s="40" t="s">
        <v>100</v>
      </c>
      <c r="C51" s="915" t="s">
        <v>51</v>
      </c>
      <c r="D51" s="67">
        <v>29101</v>
      </c>
      <c r="E51" s="915" t="s">
        <v>123</v>
      </c>
      <c r="F51" s="13">
        <f t="shared" ref="F51:F56" si="13">SUM(G51:L51)</f>
        <v>0</v>
      </c>
      <c r="G51" s="13"/>
      <c r="H51" s="13"/>
      <c r="I51" s="13"/>
      <c r="J51" s="13"/>
      <c r="K51" s="13"/>
      <c r="L51" s="13"/>
    </row>
    <row r="52" spans="1:12" ht="30.75" hidden="1" customHeight="1" x14ac:dyDescent="0.25">
      <c r="A52" s="27" t="s">
        <v>514</v>
      </c>
      <c r="B52" s="40" t="s">
        <v>100</v>
      </c>
      <c r="C52" s="916"/>
      <c r="D52" s="67">
        <v>29102</v>
      </c>
      <c r="E52" s="916"/>
      <c r="F52" s="13">
        <f t="shared" si="13"/>
        <v>0</v>
      </c>
      <c r="G52" s="13"/>
      <c r="H52" s="13"/>
      <c r="I52" s="13"/>
      <c r="J52" s="13"/>
      <c r="K52" s="13"/>
      <c r="L52" s="13"/>
    </row>
    <row r="53" spans="1:12" ht="30.75" hidden="1" customHeight="1" x14ac:dyDescent="0.25">
      <c r="A53" s="27" t="s">
        <v>542</v>
      </c>
      <c r="B53" s="40" t="s">
        <v>100</v>
      </c>
      <c r="C53" s="192" t="s">
        <v>52</v>
      </c>
      <c r="D53" s="67">
        <v>29104</v>
      </c>
      <c r="E53" s="192" t="s">
        <v>123</v>
      </c>
      <c r="F53" s="13">
        <f t="shared" si="13"/>
        <v>0</v>
      </c>
      <c r="G53" s="13"/>
      <c r="H53" s="13"/>
      <c r="I53" s="13"/>
      <c r="J53" s="13"/>
      <c r="K53" s="13"/>
      <c r="L53" s="13"/>
    </row>
    <row r="54" spans="1:12" ht="31.5" hidden="1" customHeight="1" x14ac:dyDescent="0.25">
      <c r="A54" s="58" t="s">
        <v>125</v>
      </c>
      <c r="B54" s="40" t="s">
        <v>100</v>
      </c>
      <c r="C54" s="192" t="s">
        <v>53</v>
      </c>
      <c r="D54" s="67">
        <v>29001</v>
      </c>
      <c r="E54" s="192" t="s">
        <v>127</v>
      </c>
      <c r="F54" s="13">
        <f t="shared" si="13"/>
        <v>0</v>
      </c>
      <c r="G54" s="13"/>
      <c r="H54" s="13"/>
      <c r="I54" s="13"/>
      <c r="J54" s="13"/>
      <c r="K54" s="13"/>
      <c r="L54" s="13"/>
    </row>
    <row r="55" spans="1:12" ht="38.25" hidden="1" customHeight="1" x14ac:dyDescent="0.25">
      <c r="A55" s="58" t="s">
        <v>126</v>
      </c>
      <c r="B55" s="40" t="s">
        <v>100</v>
      </c>
      <c r="C55" s="192" t="s">
        <v>53</v>
      </c>
      <c r="D55" s="67">
        <v>29001</v>
      </c>
      <c r="E55" s="192" t="s">
        <v>128</v>
      </c>
      <c r="F55" s="13">
        <f t="shared" si="13"/>
        <v>0</v>
      </c>
      <c r="G55" s="13"/>
      <c r="H55" s="13"/>
      <c r="I55" s="13"/>
      <c r="J55" s="13"/>
      <c r="K55" s="13"/>
      <c r="L55" s="13"/>
    </row>
    <row r="56" spans="1:12" ht="34.5" hidden="1" customHeight="1" x14ac:dyDescent="0.25">
      <c r="A56" s="59" t="s">
        <v>130</v>
      </c>
      <c r="B56" s="40" t="s">
        <v>100</v>
      </c>
      <c r="C56" s="192" t="s">
        <v>53</v>
      </c>
      <c r="D56" s="67">
        <v>29001</v>
      </c>
      <c r="E56" s="192" t="s">
        <v>129</v>
      </c>
      <c r="F56" s="13">
        <f t="shared" si="13"/>
        <v>0</v>
      </c>
      <c r="G56" s="13"/>
      <c r="H56" s="13"/>
      <c r="I56" s="13"/>
      <c r="J56" s="13"/>
      <c r="K56" s="13"/>
      <c r="L56" s="13"/>
    </row>
    <row r="57" spans="1:12" ht="36" hidden="1" customHeight="1" x14ac:dyDescent="0.3">
      <c r="A57" s="872" t="s">
        <v>131</v>
      </c>
      <c r="B57" s="873"/>
      <c r="C57" s="873"/>
      <c r="D57" s="902">
        <v>300</v>
      </c>
      <c r="E57" s="903"/>
      <c r="F57" s="45">
        <f>F58+F63</f>
        <v>0</v>
      </c>
      <c r="G57" s="45">
        <f t="shared" ref="G57:L57" si="14">G58+G63</f>
        <v>0</v>
      </c>
      <c r="H57" s="45">
        <f t="shared" si="14"/>
        <v>0</v>
      </c>
      <c r="I57" s="45">
        <f t="shared" si="14"/>
        <v>0</v>
      </c>
      <c r="J57" s="45">
        <f t="shared" si="14"/>
        <v>0</v>
      </c>
      <c r="K57" s="45">
        <f t="shared" si="14"/>
        <v>0</v>
      </c>
      <c r="L57" s="45">
        <f t="shared" si="14"/>
        <v>0</v>
      </c>
    </row>
    <row r="58" spans="1:12" ht="30.75" hidden="1" customHeight="1" x14ac:dyDescent="0.3">
      <c r="A58" s="857" t="s">
        <v>13</v>
      </c>
      <c r="B58" s="858"/>
      <c r="C58" s="859"/>
      <c r="D58" s="860">
        <v>310</v>
      </c>
      <c r="E58" s="861"/>
      <c r="F58" s="44">
        <f>SUM(G58:L58)</f>
        <v>0</v>
      </c>
      <c r="G58" s="44">
        <f t="shared" ref="G58:H58" si="15">SUM(G59:G62)</f>
        <v>0</v>
      </c>
      <c r="H58" s="44">
        <f t="shared" si="15"/>
        <v>0</v>
      </c>
      <c r="I58" s="44">
        <f>SUM(I59:I62)</f>
        <v>0</v>
      </c>
      <c r="J58" s="44">
        <f>SUM(J59:J62)</f>
        <v>0</v>
      </c>
      <c r="K58" s="44">
        <f>SUM(K59:K62)</f>
        <v>0</v>
      </c>
      <c r="L58" s="44">
        <f>SUM(L59:L62)</f>
        <v>0</v>
      </c>
    </row>
    <row r="59" spans="1:12" ht="27.75" hidden="1" customHeight="1" x14ac:dyDescent="0.25">
      <c r="A59" s="16" t="s">
        <v>132</v>
      </c>
      <c r="B59" s="40" t="s">
        <v>133</v>
      </c>
      <c r="C59" s="192" t="s">
        <v>49</v>
      </c>
      <c r="D59" s="67">
        <v>31003</v>
      </c>
      <c r="E59" s="192" t="s">
        <v>61</v>
      </c>
      <c r="F59" s="13">
        <f>SUM(G59:L59)</f>
        <v>0</v>
      </c>
      <c r="G59" s="13"/>
      <c r="H59" s="13"/>
      <c r="I59" s="13"/>
      <c r="J59" s="13"/>
      <c r="K59" s="13"/>
      <c r="L59" s="13"/>
    </row>
    <row r="60" spans="1:12" ht="25.5" hidden="1" customHeight="1" x14ac:dyDescent="0.25">
      <c r="A60" s="16" t="s">
        <v>6</v>
      </c>
      <c r="B60" s="40" t="s">
        <v>133</v>
      </c>
      <c r="C60" s="192" t="s">
        <v>49</v>
      </c>
      <c r="D60" s="67">
        <v>31004</v>
      </c>
      <c r="E60" s="192" t="s">
        <v>61</v>
      </c>
      <c r="F60" s="13">
        <f>SUM(G60:L60)</f>
        <v>0</v>
      </c>
      <c r="G60" s="13"/>
      <c r="H60" s="13"/>
      <c r="I60" s="13"/>
      <c r="J60" s="13"/>
      <c r="K60" s="13"/>
      <c r="L60" s="13"/>
    </row>
    <row r="61" spans="1:12" ht="28.5" hidden="1" customHeight="1" x14ac:dyDescent="0.25">
      <c r="A61" s="16" t="s">
        <v>7</v>
      </c>
      <c r="B61" s="40" t="s">
        <v>133</v>
      </c>
      <c r="C61" s="192" t="s">
        <v>49</v>
      </c>
      <c r="D61" s="67">
        <v>31005</v>
      </c>
      <c r="E61" s="192" t="s">
        <v>61</v>
      </c>
      <c r="F61" s="13">
        <f>SUM(G61:L61)</f>
        <v>0</v>
      </c>
      <c r="G61" s="13"/>
      <c r="H61" s="13"/>
      <c r="I61" s="13"/>
      <c r="J61" s="13"/>
      <c r="K61" s="13"/>
      <c r="L61" s="13"/>
    </row>
    <row r="62" spans="1:12" ht="36.75" hidden="1" customHeight="1" x14ac:dyDescent="0.25">
      <c r="A62" s="16" t="s">
        <v>8</v>
      </c>
      <c r="B62" s="40" t="s">
        <v>133</v>
      </c>
      <c r="C62" s="192" t="s">
        <v>49</v>
      </c>
      <c r="D62" s="67">
        <v>31099</v>
      </c>
      <c r="E62" s="192" t="s">
        <v>61</v>
      </c>
      <c r="F62" s="13">
        <f>SUM(G62:L62)</f>
        <v>0</v>
      </c>
      <c r="G62" s="13"/>
      <c r="H62" s="13"/>
      <c r="I62" s="13"/>
      <c r="J62" s="13"/>
      <c r="K62" s="13"/>
      <c r="L62" s="13"/>
    </row>
    <row r="63" spans="1:12" ht="39.75" hidden="1" customHeight="1" x14ac:dyDescent="0.3">
      <c r="A63" s="857" t="s">
        <v>14</v>
      </c>
      <c r="B63" s="858"/>
      <c r="C63" s="859"/>
      <c r="D63" s="860">
        <v>340</v>
      </c>
      <c r="E63" s="861"/>
      <c r="F63" s="44">
        <f>F64+F65+F66+F67+F68+F69</f>
        <v>0</v>
      </c>
      <c r="G63" s="44">
        <f t="shared" ref="G63:L63" si="16">G64+G65+G66+G67+G68+G69</f>
        <v>0</v>
      </c>
      <c r="H63" s="44">
        <f t="shared" si="16"/>
        <v>0</v>
      </c>
      <c r="I63" s="44">
        <f t="shared" si="16"/>
        <v>0</v>
      </c>
      <c r="J63" s="44">
        <f t="shared" si="16"/>
        <v>0</v>
      </c>
      <c r="K63" s="44">
        <f t="shared" si="16"/>
        <v>0</v>
      </c>
      <c r="L63" s="44">
        <f t="shared" si="16"/>
        <v>0</v>
      </c>
    </row>
    <row r="64" spans="1:12" ht="31.5" hidden="1" customHeight="1" x14ac:dyDescent="0.25">
      <c r="A64" s="42" t="s">
        <v>3</v>
      </c>
      <c r="B64" s="40" t="s">
        <v>100</v>
      </c>
      <c r="C64" s="192" t="s">
        <v>49</v>
      </c>
      <c r="D64" s="67">
        <v>34001</v>
      </c>
      <c r="E64" s="192" t="s">
        <v>82</v>
      </c>
      <c r="F64" s="13">
        <f>SUM(G64:L64)</f>
        <v>0</v>
      </c>
      <c r="G64" s="13"/>
      <c r="H64" s="13"/>
      <c r="I64" s="13"/>
      <c r="J64" s="13"/>
      <c r="K64" s="13"/>
      <c r="L64" s="13"/>
    </row>
    <row r="65" spans="1:12" ht="24.75" hidden="1" customHeight="1" x14ac:dyDescent="0.25">
      <c r="A65" s="42" t="s">
        <v>1</v>
      </c>
      <c r="B65" s="40" t="s">
        <v>100</v>
      </c>
      <c r="C65" s="192" t="s">
        <v>49</v>
      </c>
      <c r="D65" s="67">
        <v>34002</v>
      </c>
      <c r="E65" s="192" t="s">
        <v>83</v>
      </c>
      <c r="F65" s="13">
        <f>SUM(G65:L65)</f>
        <v>0</v>
      </c>
      <c r="G65" s="13"/>
      <c r="H65" s="13"/>
      <c r="I65" s="13"/>
      <c r="J65" s="13"/>
      <c r="K65" s="13"/>
      <c r="L65" s="13"/>
    </row>
    <row r="66" spans="1:12" ht="24.75" hidden="1" customHeight="1" x14ac:dyDescent="0.25">
      <c r="A66" s="42" t="s">
        <v>134</v>
      </c>
      <c r="B66" s="40" t="s">
        <v>135</v>
      </c>
      <c r="C66" s="192" t="s">
        <v>49</v>
      </c>
      <c r="D66" s="67">
        <v>34002</v>
      </c>
      <c r="E66" s="192" t="s">
        <v>83</v>
      </c>
      <c r="F66" s="13">
        <f>SUM(G66:L66)</f>
        <v>0</v>
      </c>
      <c r="G66" s="13"/>
      <c r="H66" s="13"/>
      <c r="I66" s="13"/>
      <c r="J66" s="13"/>
      <c r="K66" s="13"/>
      <c r="L66" s="13"/>
    </row>
    <row r="67" spans="1:12" ht="23.25" hidden="1" customHeight="1" x14ac:dyDescent="0.25">
      <c r="A67" s="42" t="s">
        <v>27</v>
      </c>
      <c r="B67" s="40" t="s">
        <v>100</v>
      </c>
      <c r="C67" s="192" t="s">
        <v>49</v>
      </c>
      <c r="D67" s="67">
        <v>34003</v>
      </c>
      <c r="E67" s="192" t="s">
        <v>84</v>
      </c>
      <c r="F67" s="13">
        <f>SUM(G67:L67)</f>
        <v>0</v>
      </c>
      <c r="G67" s="13"/>
      <c r="H67" s="13"/>
      <c r="I67" s="13"/>
      <c r="J67" s="13"/>
      <c r="K67" s="13"/>
      <c r="L67" s="13"/>
    </row>
    <row r="68" spans="1:12" ht="24" hidden="1" customHeight="1" x14ac:dyDescent="0.25">
      <c r="A68" s="42" t="s">
        <v>28</v>
      </c>
      <c r="B68" s="40" t="s">
        <v>100</v>
      </c>
      <c r="C68" s="192" t="s">
        <v>49</v>
      </c>
      <c r="D68" s="67">
        <v>34004</v>
      </c>
      <c r="E68" s="192" t="s">
        <v>85</v>
      </c>
      <c r="F68" s="13">
        <f>SUM(G68:L68)</f>
        <v>0</v>
      </c>
      <c r="G68" s="13"/>
      <c r="H68" s="13"/>
      <c r="I68" s="13"/>
      <c r="J68" s="13"/>
      <c r="K68" s="13"/>
      <c r="L68" s="13"/>
    </row>
    <row r="69" spans="1:12" ht="31.5" hidden="1" customHeight="1" x14ac:dyDescent="0.25">
      <c r="A69" s="895" t="s">
        <v>29</v>
      </c>
      <c r="B69" s="896"/>
      <c r="C69" s="897"/>
      <c r="D69" s="898">
        <v>34099</v>
      </c>
      <c r="E69" s="899"/>
      <c r="F69" s="32">
        <f>SUM(F70:F72)</f>
        <v>0</v>
      </c>
      <c r="G69" s="32">
        <f t="shared" ref="G69:L69" si="17">SUM(G70:G72)</f>
        <v>0</v>
      </c>
      <c r="H69" s="32">
        <f t="shared" si="17"/>
        <v>0</v>
      </c>
      <c r="I69" s="32">
        <f t="shared" si="17"/>
        <v>0</v>
      </c>
      <c r="J69" s="32">
        <f t="shared" si="17"/>
        <v>0</v>
      </c>
      <c r="K69" s="32">
        <f t="shared" si="17"/>
        <v>0</v>
      </c>
      <c r="L69" s="32">
        <f t="shared" si="17"/>
        <v>0</v>
      </c>
    </row>
    <row r="70" spans="1:12" ht="30" hidden="1" customHeight="1" x14ac:dyDescent="0.25">
      <c r="A70" s="42" t="s">
        <v>136</v>
      </c>
      <c r="B70" s="40" t="s">
        <v>100</v>
      </c>
      <c r="C70" s="192" t="s">
        <v>49</v>
      </c>
      <c r="D70" s="67">
        <v>34099</v>
      </c>
      <c r="E70" s="192" t="s">
        <v>137</v>
      </c>
      <c r="F70" s="13">
        <f>SUM(G70:L70)</f>
        <v>0</v>
      </c>
      <c r="G70" s="13"/>
      <c r="H70" s="13"/>
      <c r="I70" s="13"/>
      <c r="J70" s="13"/>
      <c r="K70" s="13"/>
      <c r="L70" s="13"/>
    </row>
    <row r="71" spans="1:12" ht="30" hidden="1" customHeight="1" x14ac:dyDescent="0.25">
      <c r="A71" s="42" t="s">
        <v>138</v>
      </c>
      <c r="B71" s="40" t="s">
        <v>100</v>
      </c>
      <c r="C71" s="192" t="s">
        <v>49</v>
      </c>
      <c r="D71" s="67">
        <v>34099</v>
      </c>
      <c r="E71" s="192" t="s">
        <v>86</v>
      </c>
      <c r="F71" s="13">
        <f>SUM(G71:L71)</f>
        <v>0</v>
      </c>
      <c r="G71" s="13"/>
      <c r="H71" s="13"/>
      <c r="I71" s="13"/>
      <c r="J71" s="13"/>
      <c r="K71" s="13"/>
      <c r="L71" s="13"/>
    </row>
    <row r="72" spans="1:12" ht="32.25" hidden="1" customHeight="1" thickBot="1" x14ac:dyDescent="0.3">
      <c r="A72" s="60" t="s">
        <v>88</v>
      </c>
      <c r="B72" s="61" t="s">
        <v>100</v>
      </c>
      <c r="C72" s="126" t="s">
        <v>49</v>
      </c>
      <c r="D72" s="62">
        <v>34099</v>
      </c>
      <c r="E72" s="126" t="s">
        <v>87</v>
      </c>
      <c r="F72" s="15">
        <f>SUM(G72:L72)</f>
        <v>0</v>
      </c>
      <c r="G72" s="15"/>
      <c r="H72" s="15"/>
      <c r="I72" s="15"/>
      <c r="J72" s="15"/>
      <c r="K72" s="15"/>
      <c r="L72" s="15"/>
    </row>
    <row r="73" spans="1:12" ht="31.5" customHeight="1" thickBot="1" x14ac:dyDescent="0.35">
      <c r="A73" s="892" t="s">
        <v>498</v>
      </c>
      <c r="B73" s="893"/>
      <c r="C73" s="893"/>
      <c r="D73" s="893"/>
      <c r="E73" s="894"/>
      <c r="F73" s="147">
        <f>F21+F22+F23+F28+F36+F40+F41+F44+F57</f>
        <v>0</v>
      </c>
      <c r="G73" s="4"/>
      <c r="H73" s="4"/>
      <c r="I73" s="4"/>
      <c r="J73" s="4"/>
      <c r="K73" s="4"/>
      <c r="L73" s="4"/>
    </row>
    <row r="74" spans="1:12" ht="8.25" customHeight="1" x14ac:dyDescent="0.2">
      <c r="A74" s="5"/>
      <c r="B74" s="7"/>
      <c r="C74" s="7"/>
      <c r="D74" s="3"/>
      <c r="E74" s="3"/>
      <c r="F74" s="4"/>
      <c r="G74" s="4"/>
      <c r="H74" s="4"/>
      <c r="I74" s="4"/>
      <c r="J74" s="4"/>
      <c r="K74" s="4"/>
      <c r="L74" s="4"/>
    </row>
    <row r="75" spans="1:12" s="12" customFormat="1" ht="15.75" customHeight="1" x14ac:dyDescent="0.25">
      <c r="A75" s="21"/>
      <c r="B75" s="11"/>
      <c r="C75" s="10"/>
      <c r="D75" s="11"/>
      <c r="E75" s="11"/>
    </row>
  </sheetData>
  <mergeCells count="46">
    <mergeCell ref="A1:B1"/>
    <mergeCell ref="D1:E1"/>
    <mergeCell ref="A2:L3"/>
    <mergeCell ref="A5:L6"/>
    <mergeCell ref="A8:A11"/>
    <mergeCell ref="B8:B11"/>
    <mergeCell ref="C8:C11"/>
    <mergeCell ref="D8:D11"/>
    <mergeCell ref="E8:E11"/>
    <mergeCell ref="F8:F11"/>
    <mergeCell ref="L8:L11"/>
    <mergeCell ref="G8:H10"/>
    <mergeCell ref="I8:I11"/>
    <mergeCell ref="J8:J11"/>
    <mergeCell ref="K8:K11"/>
    <mergeCell ref="A12:F12"/>
    <mergeCell ref="A13:E13"/>
    <mergeCell ref="A14:C14"/>
    <mergeCell ref="D14:E14"/>
    <mergeCell ref="A18:C18"/>
    <mergeCell ref="D18:E18"/>
    <mergeCell ref="A20:C20"/>
    <mergeCell ref="D20:E20"/>
    <mergeCell ref="A23:C23"/>
    <mergeCell ref="D23:E23"/>
    <mergeCell ref="A28:C28"/>
    <mergeCell ref="D28:E28"/>
    <mergeCell ref="A35:C35"/>
    <mergeCell ref="D35:E35"/>
    <mergeCell ref="A45:C45"/>
    <mergeCell ref="D45:E45"/>
    <mergeCell ref="A47:C47"/>
    <mergeCell ref="D47:E47"/>
    <mergeCell ref="A50:C50"/>
    <mergeCell ref="D50:E50"/>
    <mergeCell ref="C51:C52"/>
    <mergeCell ref="E51:E52"/>
    <mergeCell ref="A57:C57"/>
    <mergeCell ref="D57:E57"/>
    <mergeCell ref="A73:E73"/>
    <mergeCell ref="A58:C58"/>
    <mergeCell ref="D58:E58"/>
    <mergeCell ref="A63:C63"/>
    <mergeCell ref="D63:E63"/>
    <mergeCell ref="A69:C69"/>
    <mergeCell ref="D69:E69"/>
  </mergeCells>
  <pageMargins left="0.70866141732283472" right="0.70866141732283472" top="0.74803149606299213" bottom="0.74803149606299213" header="0.31496062992125984" footer="0.31496062992125984"/>
  <pageSetup paperSize="9" scale="55"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41"/>
  <sheetViews>
    <sheetView view="pageBreakPreview" zoomScale="60" zoomScaleNormal="55" workbookViewId="0">
      <selection activeCell="G8" sqref="G8:G11"/>
    </sheetView>
  </sheetViews>
  <sheetFormatPr defaultRowHeight="12.75" x14ac:dyDescent="0.2"/>
  <cols>
    <col min="1" max="1" width="42.7109375" customWidth="1"/>
    <col min="2" max="2" width="9.7109375" customWidth="1"/>
    <col min="3" max="3" width="10.7109375" customWidth="1"/>
    <col min="4" max="4" width="9.5703125" customWidth="1"/>
    <col min="5" max="5" width="21.7109375" customWidth="1"/>
    <col min="6" max="6" width="18.7109375" hidden="1" customWidth="1"/>
    <col min="7" max="7" width="18" customWidth="1"/>
    <col min="8" max="11" width="18.7109375" customWidth="1"/>
    <col min="12" max="13" width="18.7109375" hidden="1" customWidth="1"/>
    <col min="14" max="14" width="20" hidden="1" customWidth="1"/>
    <col min="15" max="15" width="18.5703125" hidden="1" customWidth="1"/>
    <col min="16" max="16" width="20.42578125" hidden="1" customWidth="1"/>
    <col min="17" max="17" width="19.7109375" hidden="1" customWidth="1"/>
    <col min="18" max="18" width="22" hidden="1" customWidth="1"/>
    <col min="19" max="19" width="20.5703125" hidden="1" customWidth="1"/>
    <col min="20" max="20" width="21.42578125" hidden="1" customWidth="1"/>
    <col min="21" max="21" width="20.7109375" hidden="1" customWidth="1"/>
    <col min="22" max="22" width="21.7109375" customWidth="1"/>
  </cols>
  <sheetData>
    <row r="1" spans="1:22" s="2" customFormat="1" ht="18" x14ac:dyDescent="0.2">
      <c r="A1" s="66"/>
      <c r="B1" s="66"/>
      <c r="C1" s="841"/>
      <c r="D1" s="841"/>
      <c r="E1" s="8"/>
      <c r="F1" s="8"/>
      <c r="G1" s="8"/>
      <c r="H1" s="8"/>
      <c r="I1" s="8"/>
      <c r="J1" s="8"/>
      <c r="K1" s="8"/>
      <c r="L1" s="8"/>
      <c r="M1" s="8"/>
      <c r="N1" s="8"/>
      <c r="O1" s="8"/>
      <c r="P1" s="8"/>
      <c r="Q1" s="8"/>
      <c r="R1" s="8"/>
      <c r="S1" s="8"/>
      <c r="T1" s="8"/>
      <c r="U1" s="8"/>
      <c r="V1" s="8"/>
    </row>
    <row r="2" spans="1:22" s="2" customFormat="1" ht="21" customHeight="1" x14ac:dyDescent="0.2">
      <c r="A2" s="846" t="s">
        <v>718</v>
      </c>
      <c r="B2" s="846"/>
      <c r="C2" s="846"/>
      <c r="D2" s="846"/>
      <c r="E2" s="846"/>
      <c r="F2" s="846"/>
      <c r="G2" s="846"/>
      <c r="H2" s="846"/>
      <c r="I2" s="846"/>
      <c r="J2" s="846"/>
      <c r="K2" s="846"/>
      <c r="L2" s="846"/>
      <c r="M2" s="846"/>
      <c r="N2" s="846"/>
      <c r="O2" s="846"/>
      <c r="P2" s="846"/>
      <c r="Q2" s="846"/>
      <c r="R2" s="846"/>
      <c r="S2" s="846"/>
      <c r="T2" s="846"/>
      <c r="U2" s="846"/>
      <c r="V2" s="846"/>
    </row>
    <row r="3" spans="1:22" s="2" customFormat="1" ht="18" customHeight="1" x14ac:dyDescent="0.2">
      <c r="A3" s="846"/>
      <c r="B3" s="846"/>
      <c r="C3" s="846"/>
      <c r="D3" s="846"/>
      <c r="E3" s="846"/>
      <c r="F3" s="846"/>
      <c r="G3" s="846"/>
      <c r="H3" s="846"/>
      <c r="I3" s="846"/>
      <c r="J3" s="846"/>
      <c r="K3" s="846"/>
      <c r="L3" s="846"/>
      <c r="M3" s="846"/>
      <c r="N3" s="846"/>
      <c r="O3" s="846"/>
      <c r="P3" s="846"/>
      <c r="Q3" s="846"/>
      <c r="R3" s="846"/>
      <c r="S3" s="846"/>
      <c r="T3" s="846"/>
      <c r="U3" s="846"/>
      <c r="V3" s="846"/>
    </row>
    <row r="4" spans="1:22" s="2" customFormat="1" ht="9.75" customHeight="1" x14ac:dyDescent="0.4">
      <c r="A4" s="28"/>
      <c r="B4" s="28"/>
      <c r="C4" s="28"/>
      <c r="D4" s="28"/>
      <c r="E4" s="28"/>
      <c r="F4" s="28"/>
      <c r="G4" s="28"/>
      <c r="H4" s="28"/>
      <c r="I4" s="28"/>
      <c r="J4" s="28"/>
      <c r="K4" s="28"/>
      <c r="L4" s="28"/>
      <c r="M4" s="28"/>
      <c r="N4" s="28"/>
      <c r="O4" s="28"/>
      <c r="P4" s="28"/>
      <c r="Q4" s="28"/>
      <c r="R4" s="28"/>
      <c r="S4" s="28"/>
      <c r="T4" s="28"/>
      <c r="U4" s="28"/>
      <c r="V4" s="28"/>
    </row>
    <row r="5" spans="1:22" s="2" customFormat="1" ht="15.75" customHeight="1" x14ac:dyDescent="0.2">
      <c r="A5" s="847" t="s">
        <v>569</v>
      </c>
      <c r="B5" s="847"/>
      <c r="C5" s="847"/>
      <c r="D5" s="847"/>
      <c r="E5" s="847"/>
      <c r="F5" s="847"/>
      <c r="G5" s="847"/>
      <c r="H5" s="847"/>
      <c r="I5" s="847"/>
      <c r="J5" s="847"/>
      <c r="K5" s="847"/>
      <c r="L5" s="847"/>
      <c r="M5" s="847"/>
      <c r="N5" s="847"/>
      <c r="O5" s="847"/>
      <c r="P5" s="847"/>
      <c r="Q5" s="847"/>
      <c r="R5" s="847"/>
      <c r="S5" s="847"/>
      <c r="T5" s="847"/>
      <c r="U5" s="847"/>
      <c r="V5" s="847"/>
    </row>
    <row r="6" spans="1:22" s="2" customFormat="1" ht="40.5" customHeight="1" x14ac:dyDescent="0.2">
      <c r="A6" s="847"/>
      <c r="B6" s="847"/>
      <c r="C6" s="847"/>
      <c r="D6" s="847"/>
      <c r="E6" s="847"/>
      <c r="F6" s="847"/>
      <c r="G6" s="847"/>
      <c r="H6" s="847"/>
      <c r="I6" s="847"/>
      <c r="J6" s="847"/>
      <c r="K6" s="847"/>
      <c r="L6" s="847"/>
      <c r="M6" s="847"/>
      <c r="N6" s="847"/>
      <c r="O6" s="847"/>
      <c r="P6" s="847"/>
      <c r="Q6" s="847"/>
      <c r="R6" s="847"/>
      <c r="S6" s="847"/>
      <c r="T6" s="847"/>
      <c r="U6" s="847"/>
      <c r="V6" s="847"/>
    </row>
    <row r="7" spans="1:22" ht="29.25" customHeight="1" thickBot="1" x14ac:dyDescent="0.45">
      <c r="A7" s="25" t="s">
        <v>32</v>
      </c>
      <c r="B7" s="22"/>
      <c r="C7" s="23"/>
      <c r="D7" s="23"/>
      <c r="E7" s="24"/>
      <c r="F7" s="24"/>
      <c r="G7" s="24"/>
      <c r="H7" s="24"/>
      <c r="I7" s="24"/>
      <c r="J7" s="24"/>
      <c r="K7" s="24"/>
      <c r="L7" s="24"/>
      <c r="M7" s="24"/>
      <c r="N7" s="24"/>
      <c r="O7" s="24"/>
      <c r="P7" s="23"/>
      <c r="Q7" s="23"/>
      <c r="R7" s="23"/>
      <c r="S7" s="23"/>
      <c r="T7" s="23"/>
      <c r="U7" s="23"/>
      <c r="V7" s="23"/>
    </row>
    <row r="8" spans="1:22" ht="69.75" customHeight="1" x14ac:dyDescent="0.2">
      <c r="A8" s="998" t="s">
        <v>10</v>
      </c>
      <c r="B8" s="1000" t="s">
        <v>89</v>
      </c>
      <c r="C8" s="1002" t="s">
        <v>11</v>
      </c>
      <c r="D8" s="1002" t="s">
        <v>62</v>
      </c>
      <c r="E8" s="1005" t="s">
        <v>161</v>
      </c>
      <c r="F8" s="1028" t="s">
        <v>631</v>
      </c>
      <c r="G8" s="1000" t="s">
        <v>165</v>
      </c>
      <c r="H8" s="1022" t="s">
        <v>166</v>
      </c>
      <c r="I8" s="1023"/>
      <c r="J8" s="987" t="s">
        <v>713</v>
      </c>
      <c r="K8" s="988"/>
      <c r="L8" s="1022" t="s">
        <v>658</v>
      </c>
      <c r="M8" s="1023"/>
      <c r="N8" s="1000" t="s">
        <v>488</v>
      </c>
      <c r="O8" s="1002" t="s">
        <v>725</v>
      </c>
      <c r="P8" s="1002"/>
      <c r="Q8" s="1002"/>
      <c r="R8" s="1002"/>
      <c r="S8" s="1002"/>
      <c r="T8" s="1002"/>
      <c r="U8" s="1002"/>
      <c r="V8" s="1008"/>
    </row>
    <row r="9" spans="1:22" ht="51.75" customHeight="1" x14ac:dyDescent="0.2">
      <c r="A9" s="999"/>
      <c r="B9" s="1001"/>
      <c r="C9" s="1003"/>
      <c r="D9" s="1003"/>
      <c r="E9" s="1006"/>
      <c r="F9" s="1029"/>
      <c r="G9" s="1001"/>
      <c r="H9" s="1024"/>
      <c r="I9" s="1025"/>
      <c r="J9" s="989"/>
      <c r="K9" s="990"/>
      <c r="L9" s="1024"/>
      <c r="M9" s="1025"/>
      <c r="N9" s="1001"/>
      <c r="O9" s="1001" t="s">
        <v>65</v>
      </c>
      <c r="P9" s="1001" t="s">
        <v>643</v>
      </c>
      <c r="Q9" s="1001" t="s">
        <v>645</v>
      </c>
      <c r="R9" s="1001" t="s">
        <v>154</v>
      </c>
      <c r="S9" s="1001" t="s">
        <v>66</v>
      </c>
      <c r="T9" s="1001" t="s">
        <v>67</v>
      </c>
      <c r="U9" s="1001" t="s">
        <v>68</v>
      </c>
      <c r="V9" s="1004" t="s">
        <v>719</v>
      </c>
    </row>
    <row r="10" spans="1:22" ht="34.5" customHeight="1" x14ac:dyDescent="0.2">
      <c r="A10" s="999"/>
      <c r="B10" s="1001"/>
      <c r="C10" s="1003"/>
      <c r="D10" s="1003"/>
      <c r="E10" s="1006"/>
      <c r="F10" s="1029"/>
      <c r="G10" s="1001"/>
      <c r="H10" s="1024"/>
      <c r="I10" s="1025"/>
      <c r="J10" s="991"/>
      <c r="K10" s="992"/>
      <c r="L10" s="1024"/>
      <c r="M10" s="1025"/>
      <c r="N10" s="1001"/>
      <c r="O10" s="1001"/>
      <c r="P10" s="1001"/>
      <c r="Q10" s="1001"/>
      <c r="R10" s="1001"/>
      <c r="S10" s="1001"/>
      <c r="T10" s="1001"/>
      <c r="U10" s="1001"/>
      <c r="V10" s="1004"/>
    </row>
    <row r="11" spans="1:22" ht="75" customHeight="1" x14ac:dyDescent="0.2">
      <c r="A11" s="999"/>
      <c r="B11" s="1001"/>
      <c r="C11" s="1003"/>
      <c r="D11" s="1003"/>
      <c r="E11" s="1006"/>
      <c r="F11" s="1029"/>
      <c r="G11" s="1001"/>
      <c r="H11" s="1026"/>
      <c r="I11" s="1027"/>
      <c r="J11" s="69" t="s">
        <v>717</v>
      </c>
      <c r="K11" s="69" t="s">
        <v>714</v>
      </c>
      <c r="L11" s="1026"/>
      <c r="M11" s="1027"/>
      <c r="N11" s="1001"/>
      <c r="O11" s="1001"/>
      <c r="P11" s="1001"/>
      <c r="Q11" s="1001"/>
      <c r="R11" s="1001"/>
      <c r="S11" s="1001"/>
      <c r="T11" s="1001"/>
      <c r="U11" s="1001"/>
      <c r="V11" s="1004"/>
    </row>
    <row r="12" spans="1:22" s="9" customFormat="1" ht="66.75" customHeight="1" x14ac:dyDescent="0.35">
      <c r="A12" s="1015" t="s">
        <v>38</v>
      </c>
      <c r="B12" s="1003"/>
      <c r="C12" s="1003"/>
      <c r="D12" s="1003"/>
      <c r="E12" s="1006"/>
      <c r="F12" s="1030"/>
      <c r="G12" s="69" t="s">
        <v>149</v>
      </c>
      <c r="H12" s="69" t="s">
        <v>548</v>
      </c>
      <c r="I12" s="69" t="s">
        <v>623</v>
      </c>
      <c r="J12" s="993" t="s">
        <v>715</v>
      </c>
      <c r="K12" s="993" t="s">
        <v>716</v>
      </c>
      <c r="L12" s="69" t="s">
        <v>660</v>
      </c>
      <c r="M12" s="69" t="s">
        <v>644</v>
      </c>
      <c r="N12" s="69" t="s">
        <v>148</v>
      </c>
      <c r="O12" s="69" t="s">
        <v>522</v>
      </c>
      <c r="P12" s="69" t="s">
        <v>641</v>
      </c>
      <c r="Q12" s="69" t="s">
        <v>644</v>
      </c>
      <c r="R12" s="69" t="s">
        <v>159</v>
      </c>
      <c r="S12" s="69" t="s">
        <v>150</v>
      </c>
      <c r="T12" s="69" t="s">
        <v>156</v>
      </c>
      <c r="U12" s="69" t="s">
        <v>157</v>
      </c>
      <c r="V12" s="70" t="s">
        <v>158</v>
      </c>
    </row>
    <row r="13" spans="1:22" s="9" customFormat="1" ht="30" customHeight="1" thickBot="1" x14ac:dyDescent="0.4">
      <c r="A13" s="1016" t="s">
        <v>35</v>
      </c>
      <c r="B13" s="1017"/>
      <c r="C13" s="1017"/>
      <c r="D13" s="1017"/>
      <c r="E13" s="1007"/>
      <c r="F13" s="73"/>
      <c r="G13" s="315" t="s">
        <v>44</v>
      </c>
      <c r="H13" s="73" t="s">
        <v>547</v>
      </c>
      <c r="I13" s="315" t="s">
        <v>622</v>
      </c>
      <c r="J13" s="994"/>
      <c r="K13" s="994"/>
      <c r="L13" s="73" t="s">
        <v>659</v>
      </c>
      <c r="M13" s="315" t="s">
        <v>646</v>
      </c>
      <c r="N13" s="73" t="s">
        <v>43</v>
      </c>
      <c r="O13" s="71" t="s">
        <v>39</v>
      </c>
      <c r="P13" s="71" t="s">
        <v>642</v>
      </c>
      <c r="Q13" s="71" t="s">
        <v>646</v>
      </c>
      <c r="R13" s="71" t="s">
        <v>155</v>
      </c>
      <c r="S13" s="71" t="s">
        <v>40</v>
      </c>
      <c r="T13" s="71" t="s">
        <v>41</v>
      </c>
      <c r="U13" s="71" t="s">
        <v>42</v>
      </c>
      <c r="V13" s="72" t="s">
        <v>64</v>
      </c>
    </row>
    <row r="14" spans="1:22" s="9" customFormat="1" ht="30" customHeight="1" thickBot="1" x14ac:dyDescent="0.4">
      <c r="A14" s="1013" t="s">
        <v>162</v>
      </c>
      <c r="B14" s="1014"/>
      <c r="C14" s="1014"/>
      <c r="D14" s="1014"/>
      <c r="E14" s="80">
        <f>SUM(F14:V14)</f>
        <v>1091293</v>
      </c>
      <c r="F14" s="80">
        <f>F18+F21+F25+F27</f>
        <v>0</v>
      </c>
      <c r="G14" s="80">
        <f t="shared" ref="G14:V14" si="0">G18+G21+G25+G27</f>
        <v>191100</v>
      </c>
      <c r="H14" s="80">
        <f t="shared" ref="H14:M14" si="1">H18+H21+H25+H27+H15</f>
        <v>28400</v>
      </c>
      <c r="I14" s="80">
        <f t="shared" si="1"/>
        <v>120000</v>
      </c>
      <c r="J14" s="80">
        <f t="shared" si="1"/>
        <v>64331</v>
      </c>
      <c r="K14" s="80">
        <f t="shared" si="1"/>
        <v>24402</v>
      </c>
      <c r="L14" s="80">
        <f t="shared" si="1"/>
        <v>0</v>
      </c>
      <c r="M14" s="80">
        <f t="shared" si="1"/>
        <v>0</v>
      </c>
      <c r="N14" s="80">
        <f t="shared" si="0"/>
        <v>0</v>
      </c>
      <c r="O14" s="80">
        <f t="shared" si="0"/>
        <v>0</v>
      </c>
      <c r="P14" s="80">
        <f t="shared" si="0"/>
        <v>0</v>
      </c>
      <c r="Q14" s="80">
        <f t="shared" si="0"/>
        <v>0</v>
      </c>
      <c r="R14" s="80">
        <f t="shared" si="0"/>
        <v>0</v>
      </c>
      <c r="S14" s="80">
        <f t="shared" si="0"/>
        <v>0</v>
      </c>
      <c r="T14" s="80">
        <f t="shared" si="0"/>
        <v>0</v>
      </c>
      <c r="U14" s="80">
        <f t="shared" si="0"/>
        <v>0</v>
      </c>
      <c r="V14" s="81">
        <f t="shared" si="0"/>
        <v>663060</v>
      </c>
    </row>
    <row r="15" spans="1:22" s="1" customFormat="1" ht="60.75" customHeight="1" x14ac:dyDescent="0.3">
      <c r="A15" s="159" t="s">
        <v>94</v>
      </c>
      <c r="B15" s="159"/>
      <c r="C15" s="1009">
        <v>210</v>
      </c>
      <c r="D15" s="1009"/>
      <c r="E15" s="160">
        <f>SUM(E16:E17)</f>
        <v>28400</v>
      </c>
      <c r="F15" s="160">
        <f t="shared" ref="F15:V15" si="2">SUM(F16:F17)</f>
        <v>0</v>
      </c>
      <c r="G15" s="160">
        <f t="shared" si="2"/>
        <v>0</v>
      </c>
      <c r="H15" s="160">
        <f t="shared" si="2"/>
        <v>28400</v>
      </c>
      <c r="I15" s="160">
        <f t="shared" ref="I15:L15" si="3">SUM(I16:I17)</f>
        <v>0</v>
      </c>
      <c r="J15" s="160">
        <f t="shared" ref="J15" si="4">SUM(J16:J17)</f>
        <v>0</v>
      </c>
      <c r="K15" s="160">
        <f t="shared" ref="K15:M15" si="5">SUM(K16:K17)</f>
        <v>0</v>
      </c>
      <c r="L15" s="160">
        <f t="shared" si="3"/>
        <v>0</v>
      </c>
      <c r="M15" s="160">
        <f t="shared" si="5"/>
        <v>0</v>
      </c>
      <c r="N15" s="160">
        <f t="shared" si="2"/>
        <v>0</v>
      </c>
      <c r="O15" s="160">
        <f t="shared" si="2"/>
        <v>0</v>
      </c>
      <c r="P15" s="160">
        <f t="shared" si="2"/>
        <v>0</v>
      </c>
      <c r="Q15" s="160">
        <f t="shared" si="2"/>
        <v>0</v>
      </c>
      <c r="R15" s="160">
        <f t="shared" si="2"/>
        <v>0</v>
      </c>
      <c r="S15" s="160">
        <f t="shared" si="2"/>
        <v>0</v>
      </c>
      <c r="T15" s="160">
        <f t="shared" si="2"/>
        <v>0</v>
      </c>
      <c r="U15" s="160">
        <f t="shared" si="2"/>
        <v>0</v>
      </c>
      <c r="V15" s="160">
        <f t="shared" si="2"/>
        <v>0</v>
      </c>
    </row>
    <row r="16" spans="1:22" s="1" customFormat="1" ht="58.5" customHeight="1" x14ac:dyDescent="0.25">
      <c r="A16" s="158" t="s">
        <v>16</v>
      </c>
      <c r="B16" s="125" t="s">
        <v>47</v>
      </c>
      <c r="C16" s="67">
        <v>21101</v>
      </c>
      <c r="D16" s="125" t="s">
        <v>90</v>
      </c>
      <c r="E16" s="13">
        <f>SUM(F16:V16)</f>
        <v>21812.59</v>
      </c>
      <c r="F16" s="13">
        <f>SUM(F19:F22)</f>
        <v>0</v>
      </c>
      <c r="G16" s="13">
        <f>SUM(G19:G22)</f>
        <v>0</v>
      </c>
      <c r="H16" s="13">
        <f>21812.59</f>
        <v>21812.59</v>
      </c>
      <c r="I16" s="13">
        <v>0</v>
      </c>
      <c r="J16" s="13">
        <v>0</v>
      </c>
      <c r="K16" s="13">
        <v>0</v>
      </c>
      <c r="L16" s="13">
        <v>0</v>
      </c>
      <c r="M16" s="13">
        <v>0</v>
      </c>
      <c r="N16" s="13">
        <f>SUM(N19:N22)</f>
        <v>0</v>
      </c>
      <c r="O16" s="13"/>
      <c r="P16" s="13"/>
      <c r="Q16" s="13"/>
      <c r="R16" s="13"/>
      <c r="S16" s="13"/>
      <c r="T16" s="13"/>
      <c r="U16" s="13"/>
      <c r="V16" s="18"/>
    </row>
    <row r="17" spans="1:22" s="1" customFormat="1" ht="45" customHeight="1" x14ac:dyDescent="0.25">
      <c r="A17" s="157" t="s">
        <v>17</v>
      </c>
      <c r="B17" s="125" t="s">
        <v>48</v>
      </c>
      <c r="C17" s="67">
        <v>21300</v>
      </c>
      <c r="D17" s="125" t="s">
        <v>18</v>
      </c>
      <c r="E17" s="13">
        <f>SUM(F17:V17)</f>
        <v>6587.41</v>
      </c>
      <c r="F17" s="13">
        <f>SUM(F21:F23)</f>
        <v>0</v>
      </c>
      <c r="G17" s="13">
        <f>SUM(G21:G23)</f>
        <v>0</v>
      </c>
      <c r="H17" s="13">
        <f>6587.41</f>
        <v>6587.41</v>
      </c>
      <c r="I17" s="13">
        <v>0</v>
      </c>
      <c r="J17" s="13">
        <v>0</v>
      </c>
      <c r="K17" s="13">
        <v>0</v>
      </c>
      <c r="L17" s="13">
        <v>0</v>
      </c>
      <c r="M17" s="13">
        <v>0</v>
      </c>
      <c r="N17" s="13">
        <f>SUM(N21:N23)</f>
        <v>0</v>
      </c>
      <c r="O17" s="13"/>
      <c r="P17" s="13"/>
      <c r="Q17" s="13"/>
      <c r="R17" s="13"/>
      <c r="S17" s="13"/>
      <c r="T17" s="13"/>
      <c r="U17" s="13"/>
      <c r="V17" s="18"/>
    </row>
    <row r="18" spans="1:22" ht="29.25" customHeight="1" x14ac:dyDescent="0.3">
      <c r="A18" s="1018" t="s">
        <v>12</v>
      </c>
      <c r="B18" s="1019"/>
      <c r="C18" s="1020">
        <v>214</v>
      </c>
      <c r="D18" s="1021"/>
      <c r="E18" s="74">
        <f>E19+E20</f>
        <v>663060</v>
      </c>
      <c r="F18" s="74">
        <f t="shared" ref="F18:U18" si="6">F19</f>
        <v>0</v>
      </c>
      <c r="G18" s="74">
        <f t="shared" si="6"/>
        <v>0</v>
      </c>
      <c r="H18" s="74">
        <f t="shared" ref="H18:M18" si="7">H19</f>
        <v>0</v>
      </c>
      <c r="I18" s="74">
        <f t="shared" si="7"/>
        <v>0</v>
      </c>
      <c r="J18" s="74">
        <f t="shared" si="7"/>
        <v>0</v>
      </c>
      <c r="K18" s="74">
        <f t="shared" si="7"/>
        <v>0</v>
      </c>
      <c r="L18" s="74">
        <f t="shared" si="7"/>
        <v>0</v>
      </c>
      <c r="M18" s="74">
        <f t="shared" si="7"/>
        <v>0</v>
      </c>
      <c r="N18" s="74">
        <f t="shared" ref="N18" si="8">N19</f>
        <v>0</v>
      </c>
      <c r="O18" s="74">
        <f t="shared" si="6"/>
        <v>0</v>
      </c>
      <c r="P18" s="74">
        <f t="shared" si="6"/>
        <v>0</v>
      </c>
      <c r="Q18" s="74">
        <f t="shared" si="6"/>
        <v>0</v>
      </c>
      <c r="R18" s="74">
        <f t="shared" si="6"/>
        <v>0</v>
      </c>
      <c r="S18" s="74">
        <f t="shared" si="6"/>
        <v>0</v>
      </c>
      <c r="T18" s="74">
        <f t="shared" si="6"/>
        <v>0</v>
      </c>
      <c r="U18" s="74">
        <f t="shared" si="6"/>
        <v>0</v>
      </c>
      <c r="V18" s="75">
        <f>V19+V20</f>
        <v>663060</v>
      </c>
    </row>
    <row r="19" spans="1:22" ht="34.5" customHeight="1" x14ac:dyDescent="0.3">
      <c r="A19" s="1011" t="s">
        <v>160</v>
      </c>
      <c r="B19" s="38">
        <v>112</v>
      </c>
      <c r="C19" s="41">
        <v>21400</v>
      </c>
      <c r="D19" s="125" t="s">
        <v>491</v>
      </c>
      <c r="E19" s="13">
        <f>SUM(F19:V19)</f>
        <v>663060</v>
      </c>
      <c r="F19" s="13"/>
      <c r="G19" s="13"/>
      <c r="H19" s="13"/>
      <c r="I19" s="13"/>
      <c r="J19" s="13"/>
      <c r="K19" s="13"/>
      <c r="L19" s="13"/>
      <c r="M19" s="13"/>
      <c r="N19" s="13"/>
      <c r="O19" s="13"/>
      <c r="P19" s="13"/>
      <c r="Q19" s="13"/>
      <c r="R19" s="13"/>
      <c r="S19" s="13"/>
      <c r="T19" s="14"/>
      <c r="U19" s="14"/>
      <c r="V19" s="18">
        <f>663060</f>
        <v>663060</v>
      </c>
    </row>
    <row r="20" spans="1:22" ht="34.5" customHeight="1" x14ac:dyDescent="0.3">
      <c r="A20" s="1012"/>
      <c r="B20" s="38">
        <v>119</v>
      </c>
      <c r="C20" s="41">
        <v>21300</v>
      </c>
      <c r="D20" s="314" t="s">
        <v>18</v>
      </c>
      <c r="E20" s="13">
        <f>SUM(F20:V20)</f>
        <v>0</v>
      </c>
      <c r="F20" s="13"/>
      <c r="G20" s="13"/>
      <c r="H20" s="13"/>
      <c r="I20" s="13"/>
      <c r="J20" s="13"/>
      <c r="K20" s="13"/>
      <c r="L20" s="13"/>
      <c r="M20" s="13"/>
      <c r="N20" s="13"/>
      <c r="O20" s="13"/>
      <c r="P20" s="13"/>
      <c r="Q20" s="13"/>
      <c r="R20" s="13"/>
      <c r="S20" s="13"/>
      <c r="T20" s="14"/>
      <c r="U20" s="14"/>
      <c r="V20" s="18"/>
    </row>
    <row r="21" spans="1:22" ht="36" hidden="1" customHeight="1" x14ac:dyDescent="0.3">
      <c r="A21" s="995" t="s">
        <v>103</v>
      </c>
      <c r="B21" s="996"/>
      <c r="C21" s="1010">
        <v>225</v>
      </c>
      <c r="D21" s="1010"/>
      <c r="E21" s="76">
        <f>SUM(E22:E24)</f>
        <v>0</v>
      </c>
      <c r="F21" s="76">
        <f>SUM(F22:F24)</f>
        <v>0</v>
      </c>
      <c r="G21" s="76">
        <f>SUM(G22:G24)</f>
        <v>0</v>
      </c>
      <c r="H21" s="76">
        <f t="shared" ref="H21:N21" si="9">SUM(H22:H24)</f>
        <v>0</v>
      </c>
      <c r="I21" s="76">
        <f t="shared" ref="I21" si="10">SUM(I22:I24)</f>
        <v>0</v>
      </c>
      <c r="J21" s="76">
        <f>SUM(J22:J24)</f>
        <v>0</v>
      </c>
      <c r="K21" s="76">
        <f t="shared" ref="K21:M21" si="11">SUM(K22:K24)</f>
        <v>0</v>
      </c>
      <c r="L21" s="76">
        <f>SUM(L22:L24)</f>
        <v>0</v>
      </c>
      <c r="M21" s="76">
        <f t="shared" si="11"/>
        <v>0</v>
      </c>
      <c r="N21" s="76">
        <f t="shared" si="9"/>
        <v>0</v>
      </c>
      <c r="O21" s="76">
        <f>SUM(O22:O24)</f>
        <v>0</v>
      </c>
      <c r="P21" s="76">
        <f>SUM(P22:P24)</f>
        <v>0</v>
      </c>
      <c r="Q21" s="76">
        <f t="shared" ref="Q21:V21" si="12">SUM(Q22:Q24)</f>
        <v>0</v>
      </c>
      <c r="R21" s="76">
        <f t="shared" si="12"/>
        <v>0</v>
      </c>
      <c r="S21" s="76">
        <f t="shared" si="12"/>
        <v>0</v>
      </c>
      <c r="T21" s="76">
        <f t="shared" si="12"/>
        <v>0</v>
      </c>
      <c r="U21" s="76">
        <f t="shared" si="12"/>
        <v>0</v>
      </c>
      <c r="V21" s="77">
        <f t="shared" si="12"/>
        <v>0</v>
      </c>
    </row>
    <row r="22" spans="1:22" ht="25.5" hidden="1" customHeight="1" x14ac:dyDescent="0.25">
      <c r="A22" s="42" t="s">
        <v>55</v>
      </c>
      <c r="B22" s="125" t="s">
        <v>63</v>
      </c>
      <c r="C22" s="67">
        <v>22505</v>
      </c>
      <c r="D22" s="125" t="s">
        <v>104</v>
      </c>
      <c r="E22" s="13">
        <f t="shared" ref="E22:E24" si="13">SUM(F22:V22)</f>
        <v>0</v>
      </c>
      <c r="F22" s="13"/>
      <c r="G22" s="13"/>
      <c r="H22" s="13"/>
      <c r="I22" s="13"/>
      <c r="J22" s="13"/>
      <c r="K22" s="13"/>
      <c r="L22" s="13"/>
      <c r="M22" s="13"/>
      <c r="N22" s="13"/>
      <c r="O22" s="13"/>
      <c r="P22" s="13"/>
      <c r="Q22" s="13"/>
      <c r="R22" s="13"/>
      <c r="S22" s="13"/>
      <c r="T22" s="13"/>
      <c r="U22" s="13"/>
      <c r="V22" s="18"/>
    </row>
    <row r="23" spans="1:22" ht="25.5" hidden="1" customHeight="1" x14ac:dyDescent="0.25">
      <c r="A23" s="42" t="s">
        <v>55</v>
      </c>
      <c r="B23" s="125" t="s">
        <v>49</v>
      </c>
      <c r="C23" s="67">
        <v>22505</v>
      </c>
      <c r="D23" s="125" t="s">
        <v>104</v>
      </c>
      <c r="E23" s="13">
        <f>SUM(F23:V23)</f>
        <v>0</v>
      </c>
      <c r="F23" s="13"/>
      <c r="G23" s="13"/>
      <c r="H23" s="13"/>
      <c r="I23" s="13"/>
      <c r="J23" s="13"/>
      <c r="K23" s="13"/>
      <c r="L23" s="13"/>
      <c r="M23" s="13"/>
      <c r="N23" s="13"/>
      <c r="O23" s="13"/>
      <c r="P23" s="13"/>
      <c r="Q23" s="13"/>
      <c r="R23" s="13"/>
      <c r="S23" s="13"/>
      <c r="T23" s="13"/>
      <c r="U23" s="13"/>
      <c r="V23" s="18"/>
    </row>
    <row r="24" spans="1:22" ht="34.5" hidden="1" customHeight="1" x14ac:dyDescent="0.25">
      <c r="A24" s="42" t="s">
        <v>22</v>
      </c>
      <c r="B24" s="125" t="s">
        <v>49</v>
      </c>
      <c r="C24" s="67">
        <v>22599</v>
      </c>
      <c r="D24" s="125" t="s">
        <v>104</v>
      </c>
      <c r="E24" s="13">
        <f t="shared" si="13"/>
        <v>0</v>
      </c>
      <c r="F24" s="13"/>
      <c r="G24" s="13"/>
      <c r="H24" s="13"/>
      <c r="I24" s="13"/>
      <c r="J24" s="13"/>
      <c r="K24" s="13"/>
      <c r="L24" s="13"/>
      <c r="M24" s="13"/>
      <c r="N24" s="13"/>
      <c r="O24" s="13"/>
      <c r="P24" s="13"/>
      <c r="Q24" s="13"/>
      <c r="R24" s="13"/>
      <c r="S24" s="13"/>
      <c r="T24" s="13"/>
      <c r="U24" s="13"/>
      <c r="V24" s="18"/>
    </row>
    <row r="25" spans="1:22" ht="28.5" customHeight="1" x14ac:dyDescent="0.3">
      <c r="A25" s="995" t="s">
        <v>109</v>
      </c>
      <c r="B25" s="996"/>
      <c r="C25" s="1010">
        <v>226</v>
      </c>
      <c r="D25" s="1010"/>
      <c r="E25" s="78">
        <f>SUM(F25:V25)</f>
        <v>88733</v>
      </c>
      <c r="F25" s="78">
        <f t="shared" ref="F25:O25" si="14">F26</f>
        <v>0</v>
      </c>
      <c r="G25" s="78">
        <f t="shared" si="14"/>
        <v>0</v>
      </c>
      <c r="H25" s="78">
        <f t="shared" si="14"/>
        <v>0</v>
      </c>
      <c r="I25" s="78">
        <f t="shared" si="14"/>
        <v>0</v>
      </c>
      <c r="J25" s="78">
        <f t="shared" si="14"/>
        <v>64331</v>
      </c>
      <c r="K25" s="78">
        <f t="shared" si="14"/>
        <v>24402</v>
      </c>
      <c r="L25" s="78">
        <f t="shared" si="14"/>
        <v>0</v>
      </c>
      <c r="M25" s="78">
        <f t="shared" si="14"/>
        <v>0</v>
      </c>
      <c r="N25" s="78">
        <f t="shared" si="14"/>
        <v>0</v>
      </c>
      <c r="O25" s="78">
        <f t="shared" si="14"/>
        <v>0</v>
      </c>
      <c r="P25" s="78">
        <f t="shared" ref="P25:V25" si="15">SUM(P26:P26)</f>
        <v>0</v>
      </c>
      <c r="Q25" s="78">
        <f t="shared" si="15"/>
        <v>0</v>
      </c>
      <c r="R25" s="78">
        <f t="shared" si="15"/>
        <v>0</v>
      </c>
      <c r="S25" s="78">
        <f t="shared" si="15"/>
        <v>0</v>
      </c>
      <c r="T25" s="78">
        <f t="shared" si="15"/>
        <v>0</v>
      </c>
      <c r="U25" s="78">
        <f t="shared" si="15"/>
        <v>0</v>
      </c>
      <c r="V25" s="79">
        <f t="shared" si="15"/>
        <v>0</v>
      </c>
    </row>
    <row r="26" spans="1:22" ht="32.25" customHeight="1" x14ac:dyDescent="0.25">
      <c r="A26" s="42" t="s">
        <v>25</v>
      </c>
      <c r="B26" s="125" t="s">
        <v>49</v>
      </c>
      <c r="C26" s="67">
        <v>22699</v>
      </c>
      <c r="D26" s="125" t="s">
        <v>110</v>
      </c>
      <c r="E26" s="13">
        <f>SUM(F26:V26)</f>
        <v>88733</v>
      </c>
      <c r="F26" s="13"/>
      <c r="G26" s="13"/>
      <c r="H26" s="13"/>
      <c r="I26" s="13"/>
      <c r="J26" s="13">
        <f>64331</f>
        <v>64331</v>
      </c>
      <c r="K26" s="13">
        <f>24402</f>
        <v>24402</v>
      </c>
      <c r="L26" s="13"/>
      <c r="M26" s="13"/>
      <c r="N26" s="13"/>
      <c r="O26" s="13"/>
      <c r="P26" s="13"/>
      <c r="Q26" s="13"/>
      <c r="R26" s="13"/>
      <c r="S26" s="13"/>
      <c r="T26" s="13"/>
      <c r="U26" s="13"/>
      <c r="V26" s="18"/>
    </row>
    <row r="27" spans="1:22" ht="41.25" customHeight="1" x14ac:dyDescent="0.3">
      <c r="A27" s="995" t="s">
        <v>131</v>
      </c>
      <c r="B27" s="996"/>
      <c r="C27" s="997">
        <v>300</v>
      </c>
      <c r="D27" s="997"/>
      <c r="E27" s="78">
        <f>E28+E33</f>
        <v>311100</v>
      </c>
      <c r="F27" s="78">
        <f>F28+F33</f>
        <v>0</v>
      </c>
      <c r="G27" s="78">
        <f>G28+G33</f>
        <v>191100</v>
      </c>
      <c r="H27" s="78">
        <f t="shared" ref="H27:N27" si="16">H28+H33</f>
        <v>0</v>
      </c>
      <c r="I27" s="78">
        <f t="shared" ref="I27:L27" si="17">I28+I33</f>
        <v>120000</v>
      </c>
      <c r="J27" s="78">
        <f t="shared" ref="J27" si="18">J28+J33</f>
        <v>0</v>
      </c>
      <c r="K27" s="78">
        <f t="shared" ref="K27:M27" si="19">K28+K33</f>
        <v>0</v>
      </c>
      <c r="L27" s="78">
        <f t="shared" si="17"/>
        <v>0</v>
      </c>
      <c r="M27" s="78">
        <f t="shared" si="19"/>
        <v>0</v>
      </c>
      <c r="N27" s="78">
        <f t="shared" si="16"/>
        <v>0</v>
      </c>
      <c r="O27" s="78">
        <f>O28+O33</f>
        <v>0</v>
      </c>
      <c r="P27" s="78">
        <f>P28+P33</f>
        <v>0</v>
      </c>
      <c r="Q27" s="78">
        <f t="shared" ref="Q27:V27" si="20">Q28+Q33</f>
        <v>0</v>
      </c>
      <c r="R27" s="78">
        <f>R28+R33</f>
        <v>0</v>
      </c>
      <c r="S27" s="78">
        <f>S28+S33</f>
        <v>0</v>
      </c>
      <c r="T27" s="78">
        <f t="shared" si="20"/>
        <v>0</v>
      </c>
      <c r="U27" s="78">
        <f t="shared" si="20"/>
        <v>0</v>
      </c>
      <c r="V27" s="79">
        <f t="shared" si="20"/>
        <v>0</v>
      </c>
    </row>
    <row r="28" spans="1:22" ht="35.25" customHeight="1" x14ac:dyDescent="0.3">
      <c r="A28" s="862" t="s">
        <v>13</v>
      </c>
      <c r="B28" s="863"/>
      <c r="C28" s="949">
        <v>310</v>
      </c>
      <c r="D28" s="949"/>
      <c r="E28" s="44">
        <f>SUM(F28:V28)</f>
        <v>310000</v>
      </c>
      <c r="F28" s="44">
        <f>SUM(F29:F32)</f>
        <v>0</v>
      </c>
      <c r="G28" s="44">
        <f>SUM(G29:G32)</f>
        <v>190000</v>
      </c>
      <c r="H28" s="44">
        <f t="shared" ref="H28:N28" si="21">SUM(H29:H32)</f>
        <v>0</v>
      </c>
      <c r="I28" s="44">
        <f t="shared" ref="I28:L28" si="22">SUM(I29:I32)</f>
        <v>120000</v>
      </c>
      <c r="J28" s="44">
        <f t="shared" ref="J28" si="23">SUM(J29:J32)</f>
        <v>0</v>
      </c>
      <c r="K28" s="44">
        <f t="shared" ref="K28:M28" si="24">SUM(K29:K32)</f>
        <v>0</v>
      </c>
      <c r="L28" s="44">
        <f t="shared" si="22"/>
        <v>0</v>
      </c>
      <c r="M28" s="44">
        <f t="shared" si="24"/>
        <v>0</v>
      </c>
      <c r="N28" s="44">
        <f t="shared" si="21"/>
        <v>0</v>
      </c>
      <c r="O28" s="44">
        <f t="shared" ref="O28:V28" si="25">SUM(O29:O32)</f>
        <v>0</v>
      </c>
      <c r="P28" s="44">
        <f t="shared" si="25"/>
        <v>0</v>
      </c>
      <c r="Q28" s="44">
        <f t="shared" si="25"/>
        <v>0</v>
      </c>
      <c r="R28" s="44">
        <f t="shared" si="25"/>
        <v>0</v>
      </c>
      <c r="S28" s="44">
        <f t="shared" si="25"/>
        <v>0</v>
      </c>
      <c r="T28" s="44">
        <f t="shared" si="25"/>
        <v>0</v>
      </c>
      <c r="U28" s="44">
        <f t="shared" si="25"/>
        <v>0</v>
      </c>
      <c r="V28" s="50">
        <f t="shared" si="25"/>
        <v>0</v>
      </c>
    </row>
    <row r="29" spans="1:22" ht="27.75" hidden="1" customHeight="1" x14ac:dyDescent="0.25">
      <c r="A29" s="16" t="s">
        <v>132</v>
      </c>
      <c r="B29" s="125" t="s">
        <v>49</v>
      </c>
      <c r="C29" s="67">
        <v>31003</v>
      </c>
      <c r="D29" s="125" t="s">
        <v>61</v>
      </c>
      <c r="E29" s="13">
        <f t="shared" ref="E29:E38" si="26">SUM(F29:V29)</f>
        <v>0</v>
      </c>
      <c r="F29" s="13"/>
      <c r="G29" s="13">
        <f>12500-12500</f>
        <v>0</v>
      </c>
      <c r="H29" s="13"/>
      <c r="I29" s="13"/>
      <c r="J29" s="13"/>
      <c r="K29" s="13"/>
      <c r="L29" s="13"/>
      <c r="M29" s="13"/>
      <c r="N29" s="13"/>
      <c r="O29" s="13"/>
      <c r="P29" s="13"/>
      <c r="Q29" s="13"/>
      <c r="R29" s="13"/>
      <c r="S29" s="13"/>
      <c r="T29" s="13"/>
      <c r="U29" s="13"/>
      <c r="V29" s="18"/>
    </row>
    <row r="30" spans="1:22" ht="25.5" hidden="1" customHeight="1" x14ac:dyDescent="0.25">
      <c r="A30" s="16" t="s">
        <v>6</v>
      </c>
      <c r="B30" s="125" t="s">
        <v>49</v>
      </c>
      <c r="C30" s="67">
        <v>31004</v>
      </c>
      <c r="D30" s="125" t="s">
        <v>61</v>
      </c>
      <c r="E30" s="13">
        <f t="shared" si="26"/>
        <v>0</v>
      </c>
      <c r="F30" s="13"/>
      <c r="G30" s="13"/>
      <c r="H30" s="13"/>
      <c r="I30" s="13"/>
      <c r="J30" s="13"/>
      <c r="K30" s="13"/>
      <c r="L30" s="13"/>
      <c r="M30" s="13"/>
      <c r="N30" s="13"/>
      <c r="O30" s="13"/>
      <c r="P30" s="13"/>
      <c r="Q30" s="13"/>
      <c r="R30" s="13"/>
      <c r="S30" s="13"/>
      <c r="T30" s="13"/>
      <c r="U30" s="13"/>
      <c r="V30" s="18"/>
    </row>
    <row r="31" spans="1:22" ht="28.5" hidden="1" customHeight="1" x14ac:dyDescent="0.25">
      <c r="A31" s="16" t="s">
        <v>7</v>
      </c>
      <c r="B31" s="125" t="s">
        <v>49</v>
      </c>
      <c r="C31" s="67">
        <v>31005</v>
      </c>
      <c r="D31" s="125" t="s">
        <v>61</v>
      </c>
      <c r="E31" s="13">
        <f t="shared" si="26"/>
        <v>0</v>
      </c>
      <c r="F31" s="13"/>
      <c r="G31" s="13"/>
      <c r="H31" s="13"/>
      <c r="I31" s="13"/>
      <c r="J31" s="13"/>
      <c r="K31" s="13"/>
      <c r="L31" s="13"/>
      <c r="M31" s="13"/>
      <c r="N31" s="13"/>
      <c r="O31" s="13"/>
      <c r="P31" s="13"/>
      <c r="Q31" s="13"/>
      <c r="R31" s="13"/>
      <c r="S31" s="13"/>
      <c r="T31" s="13"/>
      <c r="U31" s="13"/>
      <c r="V31" s="18"/>
    </row>
    <row r="32" spans="1:22" ht="36.75" customHeight="1" x14ac:dyDescent="0.25">
      <c r="A32" s="16" t="s">
        <v>8</v>
      </c>
      <c r="B32" s="125" t="s">
        <v>49</v>
      </c>
      <c r="C32" s="67">
        <v>31099</v>
      </c>
      <c r="D32" s="125" t="s">
        <v>61</v>
      </c>
      <c r="E32" s="13">
        <f t="shared" si="26"/>
        <v>310000</v>
      </c>
      <c r="F32" s="13"/>
      <c r="G32" s="13">
        <f>190000</f>
        <v>190000</v>
      </c>
      <c r="H32" s="13"/>
      <c r="I32" s="13">
        <f>120000</f>
        <v>120000</v>
      </c>
      <c r="J32" s="13"/>
      <c r="K32" s="13"/>
      <c r="L32" s="13"/>
      <c r="M32" s="13"/>
      <c r="N32" s="13"/>
      <c r="O32" s="13"/>
      <c r="P32" s="13"/>
      <c r="Q32" s="13"/>
      <c r="R32" s="13"/>
      <c r="S32" s="13"/>
      <c r="T32" s="13"/>
      <c r="U32" s="13"/>
      <c r="V32" s="18"/>
    </row>
    <row r="33" spans="1:22" ht="39.75" customHeight="1" x14ac:dyDescent="0.3">
      <c r="A33" s="862" t="s">
        <v>14</v>
      </c>
      <c r="B33" s="863"/>
      <c r="C33" s="949">
        <v>340</v>
      </c>
      <c r="D33" s="949"/>
      <c r="E33" s="44">
        <f>SUM(F33:V33)</f>
        <v>1100</v>
      </c>
      <c r="F33" s="44">
        <f>F34+F35</f>
        <v>0</v>
      </c>
      <c r="G33" s="44">
        <f t="shared" ref="G33:V33" si="27">G34+G35</f>
        <v>1100</v>
      </c>
      <c r="H33" s="44">
        <f t="shared" ref="H33:K33" si="28">H34+H35</f>
        <v>0</v>
      </c>
      <c r="I33" s="44">
        <f t="shared" si="28"/>
        <v>0</v>
      </c>
      <c r="J33" s="44">
        <f t="shared" si="28"/>
        <v>0</v>
      </c>
      <c r="K33" s="44">
        <f t="shared" si="28"/>
        <v>0</v>
      </c>
      <c r="L33" s="44">
        <f t="shared" ref="L33:M33" si="29">L34+L35</f>
        <v>0</v>
      </c>
      <c r="M33" s="44">
        <f t="shared" si="29"/>
        <v>0</v>
      </c>
      <c r="N33" s="44">
        <f t="shared" ref="N33" si="30">N34+N35</f>
        <v>0</v>
      </c>
      <c r="O33" s="44">
        <f t="shared" si="27"/>
        <v>0</v>
      </c>
      <c r="P33" s="44">
        <f t="shared" si="27"/>
        <v>0</v>
      </c>
      <c r="Q33" s="44">
        <f t="shared" si="27"/>
        <v>0</v>
      </c>
      <c r="R33" s="44">
        <f t="shared" si="27"/>
        <v>0</v>
      </c>
      <c r="S33" s="44">
        <f t="shared" si="27"/>
        <v>0</v>
      </c>
      <c r="T33" s="44">
        <f t="shared" si="27"/>
        <v>0</v>
      </c>
      <c r="U33" s="44">
        <f t="shared" si="27"/>
        <v>0</v>
      </c>
      <c r="V33" s="50">
        <f t="shared" si="27"/>
        <v>0</v>
      </c>
    </row>
    <row r="34" spans="1:22" ht="24" hidden="1" customHeight="1" x14ac:dyDescent="0.25">
      <c r="A34" s="42" t="s">
        <v>28</v>
      </c>
      <c r="B34" s="125" t="s">
        <v>49</v>
      </c>
      <c r="C34" s="67">
        <v>34004</v>
      </c>
      <c r="D34" s="125" t="s">
        <v>85</v>
      </c>
      <c r="E34" s="13">
        <f t="shared" si="26"/>
        <v>0</v>
      </c>
      <c r="F34" s="13"/>
      <c r="G34" s="13"/>
      <c r="H34" s="13"/>
      <c r="I34" s="13"/>
      <c r="J34" s="13"/>
      <c r="K34" s="13"/>
      <c r="L34" s="13"/>
      <c r="M34" s="13"/>
      <c r="N34" s="13"/>
      <c r="O34" s="13"/>
      <c r="P34" s="13"/>
      <c r="Q34" s="13"/>
      <c r="R34" s="13"/>
      <c r="S34" s="13"/>
      <c r="T34" s="13"/>
      <c r="U34" s="13"/>
      <c r="V34" s="18"/>
    </row>
    <row r="35" spans="1:22" ht="31.5" customHeight="1" x14ac:dyDescent="0.25">
      <c r="A35" s="951" t="s">
        <v>29</v>
      </c>
      <c r="B35" s="952"/>
      <c r="C35" s="953">
        <v>34099</v>
      </c>
      <c r="D35" s="953"/>
      <c r="E35" s="32">
        <f>SUM(E36:E38)</f>
        <v>1100</v>
      </c>
      <c r="F35" s="32">
        <f>SUM(F36:F38)</f>
        <v>0</v>
      </c>
      <c r="G35" s="32">
        <f>SUM(G36:G38)</f>
        <v>1100</v>
      </c>
      <c r="H35" s="32">
        <f t="shared" ref="H35:N35" si="31">SUM(H36:H38)</f>
        <v>0</v>
      </c>
      <c r="I35" s="32">
        <f t="shared" ref="I35:L35" si="32">SUM(I36:I38)</f>
        <v>0</v>
      </c>
      <c r="J35" s="32">
        <f t="shared" ref="J35" si="33">SUM(J36:J38)</f>
        <v>0</v>
      </c>
      <c r="K35" s="32">
        <f t="shared" ref="K35:M35" si="34">SUM(K36:K38)</f>
        <v>0</v>
      </c>
      <c r="L35" s="32">
        <f t="shared" si="32"/>
        <v>0</v>
      </c>
      <c r="M35" s="32">
        <f t="shared" si="34"/>
        <v>0</v>
      </c>
      <c r="N35" s="32">
        <f t="shared" si="31"/>
        <v>0</v>
      </c>
      <c r="O35" s="32">
        <f>SUM(O36:O38)</f>
        <v>0</v>
      </c>
      <c r="P35" s="32">
        <f>SUM(P36:P38)</f>
        <v>0</v>
      </c>
      <c r="Q35" s="32">
        <f t="shared" ref="Q35:V35" si="35">SUM(Q36:Q38)</f>
        <v>0</v>
      </c>
      <c r="R35" s="32">
        <f t="shared" si="35"/>
        <v>0</v>
      </c>
      <c r="S35" s="32">
        <f t="shared" si="35"/>
        <v>0</v>
      </c>
      <c r="T35" s="32">
        <f t="shared" si="35"/>
        <v>0</v>
      </c>
      <c r="U35" s="32">
        <f t="shared" si="35"/>
        <v>0</v>
      </c>
      <c r="V35" s="55">
        <f t="shared" si="35"/>
        <v>0</v>
      </c>
    </row>
    <row r="36" spans="1:22" ht="24" hidden="1" customHeight="1" x14ac:dyDescent="0.25">
      <c r="A36" s="42" t="s">
        <v>136</v>
      </c>
      <c r="B36" s="125" t="s">
        <v>49</v>
      </c>
      <c r="C36" s="67">
        <v>34099</v>
      </c>
      <c r="D36" s="125" t="s">
        <v>137</v>
      </c>
      <c r="E36" s="13">
        <f t="shared" si="26"/>
        <v>0</v>
      </c>
      <c r="F36" s="13"/>
      <c r="G36" s="13"/>
      <c r="H36" s="13"/>
      <c r="I36" s="13"/>
      <c r="J36" s="13"/>
      <c r="K36" s="13"/>
      <c r="L36" s="13"/>
      <c r="M36" s="13"/>
      <c r="N36" s="13"/>
      <c r="O36" s="13"/>
      <c r="P36" s="13"/>
      <c r="Q36" s="13"/>
      <c r="R36" s="13"/>
      <c r="S36" s="13"/>
      <c r="T36" s="13"/>
      <c r="U36" s="13"/>
      <c r="V36" s="18"/>
    </row>
    <row r="37" spans="1:22" ht="30" customHeight="1" thickBot="1" x14ac:dyDescent="0.3">
      <c r="A37" s="42" t="s">
        <v>138</v>
      </c>
      <c r="B37" s="125" t="s">
        <v>49</v>
      </c>
      <c r="C37" s="67">
        <v>34099</v>
      </c>
      <c r="D37" s="125" t="s">
        <v>86</v>
      </c>
      <c r="E37" s="13">
        <f t="shared" si="26"/>
        <v>1100</v>
      </c>
      <c r="F37" s="13"/>
      <c r="G37" s="13">
        <f>1100</f>
        <v>1100</v>
      </c>
      <c r="H37" s="13"/>
      <c r="I37" s="13"/>
      <c r="J37" s="13"/>
      <c r="K37" s="13"/>
      <c r="L37" s="13"/>
      <c r="M37" s="13"/>
      <c r="N37" s="13"/>
      <c r="O37" s="13"/>
      <c r="P37" s="13"/>
      <c r="Q37" s="13"/>
      <c r="R37" s="13"/>
      <c r="S37" s="13"/>
      <c r="T37" s="13"/>
      <c r="U37" s="13"/>
      <c r="V37" s="18"/>
    </row>
    <row r="38" spans="1:22" ht="32.25" hidden="1" customHeight="1" thickBot="1" x14ac:dyDescent="0.3">
      <c r="A38" s="60" t="s">
        <v>88</v>
      </c>
      <c r="B38" s="126" t="s">
        <v>49</v>
      </c>
      <c r="C38" s="62">
        <v>34099</v>
      </c>
      <c r="D38" s="126" t="s">
        <v>87</v>
      </c>
      <c r="E38" s="15">
        <f t="shared" si="26"/>
        <v>0</v>
      </c>
      <c r="F38" s="15"/>
      <c r="G38" s="15"/>
      <c r="H38" s="15"/>
      <c r="I38" s="15"/>
      <c r="J38" s="15"/>
      <c r="K38" s="15"/>
      <c r="L38" s="15"/>
      <c r="M38" s="15"/>
      <c r="N38" s="15"/>
      <c r="O38" s="15"/>
      <c r="P38" s="15"/>
      <c r="Q38" s="15"/>
      <c r="R38" s="15"/>
      <c r="S38" s="15"/>
      <c r="T38" s="15"/>
      <c r="U38" s="15"/>
      <c r="V38" s="19"/>
    </row>
    <row r="39" spans="1:22" ht="33" customHeight="1" thickBot="1" x14ac:dyDescent="0.35">
      <c r="A39" s="148" t="s">
        <v>498</v>
      </c>
      <c r="B39" s="149"/>
      <c r="C39" s="149"/>
      <c r="D39" s="150"/>
      <c r="E39" s="151">
        <f>E21+E25+E27</f>
        <v>399833</v>
      </c>
      <c r="F39" s="152"/>
      <c r="G39" s="4"/>
      <c r="H39" s="4"/>
      <c r="I39" s="4"/>
      <c r="J39" s="4"/>
      <c r="K39" s="4"/>
      <c r="L39" s="4"/>
      <c r="M39" s="4"/>
      <c r="N39" s="4"/>
      <c r="O39" s="4"/>
      <c r="P39" s="4"/>
      <c r="Q39" s="4"/>
      <c r="R39" s="4"/>
      <c r="S39" s="4"/>
      <c r="T39" s="4"/>
      <c r="U39" s="4"/>
      <c r="V39" s="4"/>
    </row>
    <row r="40" spans="1:22" ht="8.25" customHeight="1" x14ac:dyDescent="0.2">
      <c r="A40" s="5"/>
      <c r="B40" s="7"/>
      <c r="C40" s="3"/>
      <c r="D40" s="3"/>
      <c r="E40" s="4"/>
      <c r="F40" s="4"/>
      <c r="G40" s="4"/>
      <c r="H40" s="4"/>
      <c r="I40" s="4"/>
      <c r="J40" s="4"/>
      <c r="K40" s="4"/>
      <c r="L40" s="4"/>
      <c r="M40" s="4"/>
      <c r="N40" s="4"/>
      <c r="O40" s="4"/>
      <c r="P40" s="4"/>
      <c r="Q40" s="4"/>
      <c r="R40" s="4"/>
      <c r="S40" s="4"/>
      <c r="T40" s="4"/>
      <c r="U40" s="4"/>
      <c r="V40" s="4"/>
    </row>
    <row r="41" spans="1:22" s="12" customFormat="1" ht="15.75" customHeight="1" x14ac:dyDescent="0.25">
      <c r="A41" s="21"/>
      <c r="B41" s="10"/>
      <c r="C41" s="11"/>
      <c r="D41" s="11"/>
      <c r="F41" s="11"/>
      <c r="P41" s="11"/>
    </row>
  </sheetData>
  <mergeCells count="44">
    <mergeCell ref="R9:R11"/>
    <mergeCell ref="O8:V8"/>
    <mergeCell ref="C15:D15"/>
    <mergeCell ref="C25:D25"/>
    <mergeCell ref="A21:B21"/>
    <mergeCell ref="C21:D21"/>
    <mergeCell ref="A19:A20"/>
    <mergeCell ref="A14:D14"/>
    <mergeCell ref="D8:D11"/>
    <mergeCell ref="A12:D12"/>
    <mergeCell ref="A13:D13"/>
    <mergeCell ref="A18:B18"/>
    <mergeCell ref="C18:D18"/>
    <mergeCell ref="H8:I11"/>
    <mergeCell ref="F8:F12"/>
    <mergeCell ref="L8:M11"/>
    <mergeCell ref="C1:D1"/>
    <mergeCell ref="A2:V3"/>
    <mergeCell ref="A5:V6"/>
    <mergeCell ref="A8:A11"/>
    <mergeCell ref="B8:B11"/>
    <mergeCell ref="C8:C11"/>
    <mergeCell ref="T9:T11"/>
    <mergeCell ref="U9:U11"/>
    <mergeCell ref="V9:V11"/>
    <mergeCell ref="S9:S11"/>
    <mergeCell ref="E8:E13"/>
    <mergeCell ref="O9:O11"/>
    <mergeCell ref="P9:P11"/>
    <mergeCell ref="Q9:Q11"/>
    <mergeCell ref="G8:G11"/>
    <mergeCell ref="N8:N11"/>
    <mergeCell ref="J8:K10"/>
    <mergeCell ref="J12:J13"/>
    <mergeCell ref="K12:K13"/>
    <mergeCell ref="A25:B25"/>
    <mergeCell ref="A35:B35"/>
    <mergeCell ref="C35:D35"/>
    <mergeCell ref="A33:B33"/>
    <mergeCell ref="C33:D33"/>
    <mergeCell ref="A27:B27"/>
    <mergeCell ref="C27:D27"/>
    <mergeCell ref="A28:B28"/>
    <mergeCell ref="C28:D28"/>
  </mergeCells>
  <pageMargins left="0.70866141732283472" right="0.70866141732283472" top="0.74803149606299213" bottom="0.74803149606299213" header="0.31496062992125984" footer="0.31496062992125984"/>
  <pageSetup paperSize="9" scale="45"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82"/>
  <sheetViews>
    <sheetView view="pageBreakPreview" zoomScale="60" zoomScaleNormal="60" workbookViewId="0">
      <selection activeCell="S73" sqref="S73"/>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7" width="23.5703125" customWidth="1"/>
    <col min="8" max="8" width="24.7109375" customWidth="1"/>
    <col min="9" max="10" width="20.28515625" customWidth="1"/>
    <col min="11" max="14" width="21.42578125" hidden="1" customWidth="1"/>
    <col min="15" max="15" width="21.42578125" customWidth="1"/>
    <col min="16" max="16" width="24.7109375" hidden="1" customWidth="1"/>
    <col min="17" max="17" width="25.85546875" hidden="1" customWidth="1"/>
    <col min="18" max="19" width="23.85546875" customWidth="1"/>
    <col min="20" max="20" width="24.7109375" customWidth="1"/>
    <col min="21" max="21" width="23.85546875" hidden="1" customWidth="1"/>
    <col min="22" max="22" width="24.7109375" hidden="1" customWidth="1"/>
  </cols>
  <sheetData>
    <row r="1" spans="1:22" s="2" customFormat="1" ht="18" x14ac:dyDescent="0.2">
      <c r="A1" s="840"/>
      <c r="B1" s="840"/>
      <c r="C1" s="101"/>
      <c r="D1" s="841"/>
      <c r="E1" s="841"/>
      <c r="F1" s="8"/>
      <c r="G1" s="8"/>
      <c r="H1" s="8"/>
      <c r="I1" s="8"/>
      <c r="J1" s="8"/>
      <c r="K1" s="8"/>
      <c r="L1" s="8"/>
      <c r="M1" s="8"/>
      <c r="N1" s="8"/>
      <c r="O1" s="8"/>
      <c r="P1" s="8"/>
      <c r="Q1" s="8"/>
      <c r="R1" s="8"/>
      <c r="S1" s="8"/>
      <c r="T1" s="8"/>
      <c r="U1" s="8"/>
      <c r="V1" s="8"/>
    </row>
    <row r="2" spans="1:22" s="2" customFormat="1" ht="21" customHeight="1" x14ac:dyDescent="0.2">
      <c r="A2" s="846" t="s">
        <v>680</v>
      </c>
      <c r="B2" s="846"/>
      <c r="C2" s="846"/>
      <c r="D2" s="846"/>
      <c r="E2" s="846"/>
      <c r="F2" s="846"/>
      <c r="G2" s="846"/>
      <c r="H2" s="846"/>
      <c r="I2" s="846"/>
      <c r="J2" s="846"/>
      <c r="K2" s="846"/>
      <c r="L2" s="846"/>
      <c r="M2" s="846"/>
      <c r="N2" s="846"/>
      <c r="O2" s="846"/>
      <c r="P2" s="846"/>
      <c r="Q2" s="846"/>
      <c r="R2" s="846"/>
      <c r="S2" s="846"/>
    </row>
    <row r="3" spans="1:22" s="2" customFormat="1" ht="18" customHeight="1" x14ac:dyDescent="0.2">
      <c r="A3" s="846"/>
      <c r="B3" s="846"/>
      <c r="C3" s="846"/>
      <c r="D3" s="846"/>
      <c r="E3" s="846"/>
      <c r="F3" s="846"/>
      <c r="G3" s="846"/>
      <c r="H3" s="846"/>
      <c r="I3" s="846"/>
      <c r="J3" s="846"/>
      <c r="K3" s="846"/>
      <c r="L3" s="846"/>
      <c r="M3" s="846"/>
      <c r="N3" s="846"/>
      <c r="O3" s="846"/>
      <c r="P3" s="846"/>
      <c r="Q3" s="846"/>
      <c r="R3" s="846"/>
      <c r="S3" s="846"/>
    </row>
    <row r="4" spans="1:22" s="2" customFormat="1" ht="9.75" customHeight="1" x14ac:dyDescent="0.4">
      <c r="A4" s="28"/>
      <c r="B4" s="28"/>
      <c r="C4" s="28"/>
      <c r="D4" s="28"/>
      <c r="E4" s="28"/>
      <c r="F4" s="28"/>
      <c r="G4" s="28"/>
      <c r="H4" s="28"/>
      <c r="I4" s="28"/>
      <c r="J4" s="28"/>
      <c r="K4" s="28"/>
      <c r="L4" s="28"/>
      <c r="M4" s="28"/>
      <c r="N4" s="28"/>
      <c r="O4" s="28"/>
      <c r="P4" s="28"/>
      <c r="Q4" s="28"/>
    </row>
    <row r="5" spans="1:22" s="2" customFormat="1" ht="15.75" customHeight="1" x14ac:dyDescent="0.2">
      <c r="A5" s="847" t="s">
        <v>569</v>
      </c>
      <c r="B5" s="847"/>
      <c r="C5" s="847"/>
      <c r="D5" s="847"/>
      <c r="E5" s="847"/>
      <c r="F5" s="847"/>
      <c r="G5" s="847"/>
      <c r="H5" s="847"/>
      <c r="I5" s="847"/>
      <c r="J5" s="847"/>
      <c r="K5" s="847"/>
      <c r="L5" s="847"/>
      <c r="M5" s="847"/>
      <c r="N5" s="847"/>
      <c r="O5" s="847"/>
      <c r="P5" s="847"/>
      <c r="Q5" s="847"/>
      <c r="R5" s="847"/>
      <c r="S5" s="847"/>
      <c r="T5" s="847"/>
      <c r="U5" s="847"/>
      <c r="V5" s="847"/>
    </row>
    <row r="6" spans="1:22" s="2" customFormat="1" ht="40.5" customHeight="1" x14ac:dyDescent="0.2">
      <c r="A6" s="847"/>
      <c r="B6" s="847"/>
      <c r="C6" s="847"/>
      <c r="D6" s="847"/>
      <c r="E6" s="847"/>
      <c r="F6" s="847"/>
      <c r="G6" s="847"/>
      <c r="H6" s="847"/>
      <c r="I6" s="847"/>
      <c r="J6" s="847"/>
      <c r="K6" s="847"/>
      <c r="L6" s="847"/>
      <c r="M6" s="847"/>
      <c r="N6" s="847"/>
      <c r="O6" s="847"/>
      <c r="P6" s="847"/>
      <c r="Q6" s="847"/>
      <c r="R6" s="847"/>
      <c r="S6" s="847"/>
      <c r="T6" s="847"/>
      <c r="U6" s="847"/>
      <c r="V6" s="847"/>
    </row>
    <row r="7" spans="1:22" ht="29.25" customHeight="1" thickBot="1" x14ac:dyDescent="0.45">
      <c r="A7" s="25" t="s">
        <v>32</v>
      </c>
      <c r="B7" s="6"/>
      <c r="C7" s="22"/>
      <c r="D7" s="23"/>
      <c r="E7" s="23"/>
      <c r="F7" s="24"/>
      <c r="G7" s="23"/>
      <c r="H7" s="23"/>
      <c r="I7" s="23"/>
      <c r="J7" s="23"/>
      <c r="K7" s="23"/>
      <c r="L7" s="23"/>
      <c r="M7" s="23"/>
      <c r="N7" s="23"/>
      <c r="O7" s="23"/>
      <c r="P7" s="23"/>
      <c r="Q7" s="23"/>
      <c r="R7" s="23"/>
      <c r="S7" s="23"/>
      <c r="T7" s="23"/>
      <c r="U7" s="23"/>
      <c r="V7" s="23"/>
    </row>
    <row r="8" spans="1:22" ht="83.25" customHeight="1" x14ac:dyDescent="0.2">
      <c r="A8" s="842" t="s">
        <v>10</v>
      </c>
      <c r="B8" s="884" t="s">
        <v>95</v>
      </c>
      <c r="C8" s="844" t="s">
        <v>89</v>
      </c>
      <c r="D8" s="844" t="s">
        <v>11</v>
      </c>
      <c r="E8" s="844" t="s">
        <v>62</v>
      </c>
      <c r="F8" s="881" t="s">
        <v>34</v>
      </c>
      <c r="G8" s="887" t="s">
        <v>141</v>
      </c>
      <c r="H8" s="844" t="s">
        <v>140</v>
      </c>
      <c r="I8" s="930" t="s">
        <v>681</v>
      </c>
      <c r="J8" s="931"/>
      <c r="K8" s="913" t="s">
        <v>553</v>
      </c>
      <c r="L8" s="913" t="s">
        <v>555</v>
      </c>
      <c r="M8" s="913" t="s">
        <v>550</v>
      </c>
      <c r="N8" s="913" t="s">
        <v>551</v>
      </c>
      <c r="O8" s="848" t="s">
        <v>73</v>
      </c>
      <c r="P8" s="848" t="s">
        <v>74</v>
      </c>
      <c r="Q8" s="848" t="s">
        <v>70</v>
      </c>
      <c r="R8" s="913" t="s">
        <v>572</v>
      </c>
      <c r="S8" s="1032" t="s">
        <v>559</v>
      </c>
      <c r="T8" s="910" t="s">
        <v>562</v>
      </c>
      <c r="U8" s="854" t="s">
        <v>71</v>
      </c>
      <c r="V8" s="851" t="s">
        <v>72</v>
      </c>
    </row>
    <row r="9" spans="1:22" ht="45.75" customHeight="1" x14ac:dyDescent="0.2">
      <c r="A9" s="843"/>
      <c r="B9" s="885"/>
      <c r="C9" s="845"/>
      <c r="D9" s="845"/>
      <c r="E9" s="845"/>
      <c r="F9" s="882"/>
      <c r="G9" s="888"/>
      <c r="H9" s="845"/>
      <c r="I9" s="932"/>
      <c r="J9" s="933"/>
      <c r="K9" s="914"/>
      <c r="L9" s="914"/>
      <c r="M9" s="914"/>
      <c r="N9" s="914"/>
      <c r="O9" s="849"/>
      <c r="P9" s="849"/>
      <c r="Q9" s="849"/>
      <c r="R9" s="914"/>
      <c r="S9" s="1033"/>
      <c r="T9" s="911"/>
      <c r="U9" s="855"/>
      <c r="V9" s="852"/>
    </row>
    <row r="10" spans="1:22" ht="37.5" customHeight="1" x14ac:dyDescent="0.2">
      <c r="A10" s="843"/>
      <c r="B10" s="885"/>
      <c r="C10" s="845"/>
      <c r="D10" s="845"/>
      <c r="E10" s="845"/>
      <c r="F10" s="882"/>
      <c r="G10" s="888"/>
      <c r="H10" s="845"/>
      <c r="I10" s="934"/>
      <c r="J10" s="935"/>
      <c r="K10" s="914"/>
      <c r="L10" s="914"/>
      <c r="M10" s="914"/>
      <c r="N10" s="914"/>
      <c r="O10" s="849"/>
      <c r="P10" s="849"/>
      <c r="Q10" s="849"/>
      <c r="R10" s="914"/>
      <c r="S10" s="1033"/>
      <c r="T10" s="911"/>
      <c r="U10" s="855"/>
      <c r="V10" s="852"/>
    </row>
    <row r="11" spans="1:22" ht="140.25" customHeight="1" x14ac:dyDescent="0.2">
      <c r="A11" s="843"/>
      <c r="B11" s="886"/>
      <c r="C11" s="845"/>
      <c r="D11" s="845"/>
      <c r="E11" s="845"/>
      <c r="F11" s="883"/>
      <c r="G11" s="888"/>
      <c r="H11" s="918"/>
      <c r="I11" s="189" t="s">
        <v>704</v>
      </c>
      <c r="J11" s="189" t="s">
        <v>705</v>
      </c>
      <c r="K11" s="1031"/>
      <c r="L11" s="1031"/>
      <c r="M11" s="1031"/>
      <c r="N11" s="1031"/>
      <c r="O11" s="850"/>
      <c r="P11" s="850"/>
      <c r="Q11" s="850"/>
      <c r="R11" s="1031"/>
      <c r="S11" s="1034"/>
      <c r="T11" s="912"/>
      <c r="U11" s="856"/>
      <c r="V11" s="853"/>
    </row>
    <row r="12" spans="1:22" s="31" customFormat="1" ht="48.75" customHeight="1" x14ac:dyDescent="0.35">
      <c r="A12" s="869" t="s">
        <v>38</v>
      </c>
      <c r="B12" s="870"/>
      <c r="C12" s="870"/>
      <c r="D12" s="870"/>
      <c r="E12" s="870"/>
      <c r="F12" s="871"/>
      <c r="G12" s="34" t="s">
        <v>139</v>
      </c>
      <c r="H12" s="34" t="s">
        <v>142</v>
      </c>
      <c r="I12" s="34" t="s">
        <v>702</v>
      </c>
      <c r="J12" s="34" t="s">
        <v>703</v>
      </c>
      <c r="K12" s="34" t="s">
        <v>554</v>
      </c>
      <c r="L12" s="34" t="s">
        <v>556</v>
      </c>
      <c r="M12" s="34" t="s">
        <v>549</v>
      </c>
      <c r="N12" s="34" t="s">
        <v>549</v>
      </c>
      <c r="O12" s="34" t="s">
        <v>564</v>
      </c>
      <c r="P12" s="34" t="s">
        <v>563</v>
      </c>
      <c r="Q12" s="34" t="s">
        <v>552</v>
      </c>
      <c r="R12" s="34" t="s">
        <v>573</v>
      </c>
      <c r="S12" s="34" t="s">
        <v>560</v>
      </c>
      <c r="T12" s="35" t="s">
        <v>561</v>
      </c>
      <c r="U12" s="109" t="s">
        <v>107</v>
      </c>
      <c r="V12" s="35" t="s">
        <v>108</v>
      </c>
    </row>
    <row r="13" spans="1:22" ht="43.5" customHeight="1" x14ac:dyDescent="0.3">
      <c r="A13" s="876" t="s">
        <v>15</v>
      </c>
      <c r="B13" s="877"/>
      <c r="C13" s="877"/>
      <c r="D13" s="877"/>
      <c r="E13" s="877"/>
      <c r="F13" s="64">
        <f>F14+F20+F46+F48+F51+F58</f>
        <v>54795776.799999997</v>
      </c>
      <c r="G13" s="165">
        <f>G14+G20+G46+G48+G51+G58</f>
        <v>8934198</v>
      </c>
      <c r="H13" s="165">
        <f>H14+H20+H46+H48+H51+H58</f>
        <v>41496978</v>
      </c>
      <c r="I13" s="165">
        <f t="shared" ref="I13:J13" si="0">I14+I20+I48+I51+I58+I46</f>
        <v>3093552</v>
      </c>
      <c r="J13" s="165">
        <f t="shared" si="0"/>
        <v>140616</v>
      </c>
      <c r="K13" s="64">
        <f t="shared" ref="K13:N13" si="1">K14+K20+K48+K51+K58+K46</f>
        <v>0</v>
      </c>
      <c r="L13" s="64">
        <f t="shared" si="1"/>
        <v>0</v>
      </c>
      <c r="M13" s="64">
        <f t="shared" si="1"/>
        <v>0</v>
      </c>
      <c r="N13" s="64">
        <f t="shared" si="1"/>
        <v>0</v>
      </c>
      <c r="O13" s="64">
        <f>O14+O20+O46+O48+O51+O58</f>
        <v>1019898</v>
      </c>
      <c r="P13" s="64">
        <f>P14+P20+P46+P48+P51+P58</f>
        <v>0</v>
      </c>
      <c r="Q13" s="64">
        <f>Q14+Q20+Q46+Q48+Q51+Q58</f>
        <v>0</v>
      </c>
      <c r="R13" s="64">
        <f>R14+R20+R48+R51+R58</f>
        <v>15506</v>
      </c>
      <c r="S13" s="64">
        <f>S14+S20+S48+S51+S58</f>
        <v>68896.800000000003</v>
      </c>
      <c r="T13" s="65">
        <f>T14+T20+T48+T51+T58</f>
        <v>26132</v>
      </c>
      <c r="U13" s="110">
        <f>U14+U20+U48+U51+U58</f>
        <v>0</v>
      </c>
      <c r="V13" s="65">
        <f>V14+V20+V48+V51+V58</f>
        <v>0</v>
      </c>
    </row>
    <row r="14" spans="1:22" ht="42.75" customHeight="1" x14ac:dyDescent="0.3">
      <c r="A14" s="872" t="s">
        <v>94</v>
      </c>
      <c r="B14" s="873"/>
      <c r="C14" s="873"/>
      <c r="D14" s="874">
        <v>210</v>
      </c>
      <c r="E14" s="875"/>
      <c r="F14" s="47">
        <f t="shared" ref="F14:F19" si="2">SUM(G14:T14)</f>
        <v>43506748.270000003</v>
      </c>
      <c r="G14" s="47">
        <f>G15+G16+G17+G18</f>
        <v>369396.27</v>
      </c>
      <c r="H14" s="47">
        <f t="shared" ref="H14" si="3">H15+H16+H17+H18</f>
        <v>39887678</v>
      </c>
      <c r="I14" s="47">
        <f t="shared" ref="I14:J14" si="4">I15+I16+I17+I18</f>
        <v>3093552</v>
      </c>
      <c r="J14" s="47">
        <f t="shared" si="4"/>
        <v>140616</v>
      </c>
      <c r="K14" s="47">
        <f t="shared" ref="K14:T14" si="5">K15+K16+K17+K18</f>
        <v>0</v>
      </c>
      <c r="L14" s="47">
        <f t="shared" si="5"/>
        <v>0</v>
      </c>
      <c r="M14" s="47">
        <f t="shared" si="5"/>
        <v>0</v>
      </c>
      <c r="N14" s="47">
        <f t="shared" si="5"/>
        <v>0</v>
      </c>
      <c r="O14" s="47">
        <f t="shared" si="5"/>
        <v>0</v>
      </c>
      <c r="P14" s="47">
        <f t="shared" si="5"/>
        <v>0</v>
      </c>
      <c r="Q14" s="47">
        <f t="shared" si="5"/>
        <v>0</v>
      </c>
      <c r="R14" s="47">
        <f t="shared" si="5"/>
        <v>15506</v>
      </c>
      <c r="S14" s="47">
        <f t="shared" si="5"/>
        <v>0</v>
      </c>
      <c r="T14" s="56">
        <f t="shared" si="5"/>
        <v>0</v>
      </c>
      <c r="U14" s="111">
        <f t="shared" ref="U14:V14" si="6">U15+U16+U17+U18</f>
        <v>0</v>
      </c>
      <c r="V14" s="56">
        <f t="shared" si="6"/>
        <v>0</v>
      </c>
    </row>
    <row r="15" spans="1:22" ht="36" customHeight="1" x14ac:dyDescent="0.25">
      <c r="A15" s="20" t="s">
        <v>16</v>
      </c>
      <c r="B15" s="40" t="s">
        <v>96</v>
      </c>
      <c r="C15" s="125" t="s">
        <v>47</v>
      </c>
      <c r="D15" s="67">
        <v>21101</v>
      </c>
      <c r="E15" s="125" t="s">
        <v>90</v>
      </c>
      <c r="F15" s="13">
        <f t="shared" si="2"/>
        <v>33394380</v>
      </c>
      <c r="G15" s="13">
        <f>262775</f>
        <v>262775</v>
      </c>
      <c r="H15" s="13">
        <f>30635696</f>
        <v>30635696</v>
      </c>
      <c r="I15" s="13">
        <f>2376000</f>
        <v>2376000</v>
      </c>
      <c r="J15" s="13">
        <f>108000</f>
        <v>108000</v>
      </c>
      <c r="K15" s="13"/>
      <c r="L15" s="13"/>
      <c r="M15" s="13"/>
      <c r="N15" s="13"/>
      <c r="O15" s="13"/>
      <c r="P15" s="13"/>
      <c r="Q15" s="13"/>
      <c r="R15" s="335">
        <f>11909</f>
        <v>11909</v>
      </c>
      <c r="S15" s="13"/>
      <c r="T15" s="18"/>
      <c r="U15" s="112"/>
      <c r="V15" s="18"/>
    </row>
    <row r="16" spans="1:22" ht="35.25" customHeight="1" x14ac:dyDescent="0.25">
      <c r="A16" s="16" t="s">
        <v>17</v>
      </c>
      <c r="B16" s="40" t="s">
        <v>97</v>
      </c>
      <c r="C16" s="125" t="s">
        <v>48</v>
      </c>
      <c r="D16" s="67">
        <v>21300</v>
      </c>
      <c r="E16" s="125" t="s">
        <v>18</v>
      </c>
      <c r="F16" s="13">
        <f t="shared" si="2"/>
        <v>10085105</v>
      </c>
      <c r="G16" s="13">
        <f>79358</f>
        <v>79358</v>
      </c>
      <c r="H16" s="13">
        <f>9251982</f>
        <v>9251982</v>
      </c>
      <c r="I16" s="13">
        <f>717552</f>
        <v>717552</v>
      </c>
      <c r="J16" s="13">
        <f>32616</f>
        <v>32616</v>
      </c>
      <c r="K16" s="13"/>
      <c r="L16" s="13"/>
      <c r="M16" s="13"/>
      <c r="N16" s="13"/>
      <c r="O16" s="13"/>
      <c r="P16" s="13"/>
      <c r="Q16" s="13"/>
      <c r="R16" s="335">
        <f>3597</f>
        <v>3597</v>
      </c>
      <c r="S16" s="13"/>
      <c r="T16" s="18"/>
      <c r="U16" s="112"/>
      <c r="V16" s="18"/>
    </row>
    <row r="17" spans="1:22" ht="36" customHeight="1" x14ac:dyDescent="0.25">
      <c r="A17" s="16" t="s">
        <v>98</v>
      </c>
      <c r="B17" s="40" t="s">
        <v>99</v>
      </c>
      <c r="C17" s="125" t="s">
        <v>48</v>
      </c>
      <c r="D17" s="67">
        <v>21300</v>
      </c>
      <c r="E17" s="125" t="s">
        <v>18</v>
      </c>
      <c r="F17" s="13">
        <f t="shared" si="2"/>
        <v>27263.27</v>
      </c>
      <c r="G17" s="154">
        <f>27263.27</f>
        <v>27263.27</v>
      </c>
      <c r="H17" s="13"/>
      <c r="I17" s="13"/>
      <c r="J17" s="13"/>
      <c r="K17" s="13"/>
      <c r="L17" s="13"/>
      <c r="M17" s="13"/>
      <c r="N17" s="13"/>
      <c r="O17" s="13"/>
      <c r="P17" s="13"/>
      <c r="Q17" s="13"/>
      <c r="R17" s="13"/>
      <c r="S17" s="13"/>
      <c r="T17" s="18"/>
      <c r="U17" s="112"/>
      <c r="V17" s="18"/>
    </row>
    <row r="18" spans="1:22" ht="29.25" customHeight="1" x14ac:dyDescent="0.3">
      <c r="A18" s="862" t="s">
        <v>12</v>
      </c>
      <c r="B18" s="863"/>
      <c r="C18" s="863"/>
      <c r="D18" s="860">
        <v>212</v>
      </c>
      <c r="E18" s="861"/>
      <c r="F18" s="44">
        <f t="shared" si="2"/>
        <v>0</v>
      </c>
      <c r="G18" s="44">
        <f>G19</f>
        <v>0</v>
      </c>
      <c r="H18" s="44">
        <f t="shared" ref="H18" si="7">H19</f>
        <v>0</v>
      </c>
      <c r="I18" s="44">
        <f t="shared" ref="I18:T18" si="8">I19</f>
        <v>0</v>
      </c>
      <c r="J18" s="44">
        <f t="shared" si="8"/>
        <v>0</v>
      </c>
      <c r="K18" s="44">
        <f t="shared" si="8"/>
        <v>0</v>
      </c>
      <c r="L18" s="44">
        <f t="shared" si="8"/>
        <v>0</v>
      </c>
      <c r="M18" s="44">
        <f t="shared" si="8"/>
        <v>0</v>
      </c>
      <c r="N18" s="44">
        <f t="shared" si="8"/>
        <v>0</v>
      </c>
      <c r="O18" s="44">
        <f t="shared" si="8"/>
        <v>0</v>
      </c>
      <c r="P18" s="44">
        <f t="shared" si="8"/>
        <v>0</v>
      </c>
      <c r="Q18" s="44">
        <f t="shared" si="8"/>
        <v>0</v>
      </c>
      <c r="R18" s="44">
        <f t="shared" si="8"/>
        <v>0</v>
      </c>
      <c r="S18" s="44">
        <f t="shared" si="8"/>
        <v>0</v>
      </c>
      <c r="T18" s="50">
        <f t="shared" si="8"/>
        <v>0</v>
      </c>
      <c r="U18" s="113">
        <f t="shared" ref="U18:V18" si="9">U19</f>
        <v>0</v>
      </c>
      <c r="V18" s="50">
        <f t="shared" si="9"/>
        <v>0</v>
      </c>
    </row>
    <row r="19" spans="1:22" ht="34.5" customHeight="1" x14ac:dyDescent="0.3">
      <c r="A19" s="57" t="s">
        <v>112</v>
      </c>
      <c r="B19" s="39" t="s">
        <v>100</v>
      </c>
      <c r="C19" s="38">
        <v>112</v>
      </c>
      <c r="D19" s="41">
        <v>21201</v>
      </c>
      <c r="E19" s="125" t="s">
        <v>59</v>
      </c>
      <c r="F19" s="13">
        <f t="shared" si="2"/>
        <v>0</v>
      </c>
      <c r="G19" s="13">
        <v>0</v>
      </c>
      <c r="H19" s="13"/>
      <c r="I19" s="13"/>
      <c r="J19" s="13"/>
      <c r="K19" s="14"/>
      <c r="L19" s="14"/>
      <c r="M19" s="14"/>
      <c r="N19" s="14"/>
      <c r="O19" s="14"/>
      <c r="P19" s="14"/>
      <c r="Q19" s="14"/>
      <c r="R19" s="14"/>
      <c r="S19" s="14"/>
      <c r="T19" s="17"/>
      <c r="U19" s="114"/>
      <c r="V19" s="17"/>
    </row>
    <row r="20" spans="1:22" ht="27.75" customHeight="1" x14ac:dyDescent="0.3">
      <c r="A20" s="864" t="s">
        <v>92</v>
      </c>
      <c r="B20" s="865"/>
      <c r="C20" s="866"/>
      <c r="D20" s="867">
        <v>220</v>
      </c>
      <c r="E20" s="868"/>
      <c r="F20" s="45">
        <f>F21+F23+F24+F29+F36+F22</f>
        <v>8063515</v>
      </c>
      <c r="G20" s="45">
        <f t="shared" ref="G20" si="10">G21+G23+G24+G29+G36+G22</f>
        <v>7963515</v>
      </c>
      <c r="H20" s="45">
        <f t="shared" ref="H20" si="11">H21+H23+H24+H29+H36+H22</f>
        <v>100000</v>
      </c>
      <c r="I20" s="45">
        <f t="shared" ref="I20:T20" si="12">I21+I23+I24+I29+I36+I22</f>
        <v>0</v>
      </c>
      <c r="J20" s="45">
        <f t="shared" si="12"/>
        <v>0</v>
      </c>
      <c r="K20" s="45">
        <f t="shared" si="12"/>
        <v>0</v>
      </c>
      <c r="L20" s="45">
        <f t="shared" si="12"/>
        <v>0</v>
      </c>
      <c r="M20" s="45">
        <f t="shared" si="12"/>
        <v>0</v>
      </c>
      <c r="N20" s="45">
        <f t="shared" si="12"/>
        <v>0</v>
      </c>
      <c r="O20" s="45">
        <f t="shared" si="12"/>
        <v>0</v>
      </c>
      <c r="P20" s="45">
        <f t="shared" si="12"/>
        <v>0</v>
      </c>
      <c r="Q20" s="45">
        <f t="shared" si="12"/>
        <v>0</v>
      </c>
      <c r="R20" s="45">
        <f t="shared" si="12"/>
        <v>0</v>
      </c>
      <c r="S20" s="45">
        <f t="shared" si="12"/>
        <v>0</v>
      </c>
      <c r="T20" s="45">
        <f t="shared" si="12"/>
        <v>0</v>
      </c>
      <c r="U20" s="115">
        <f t="shared" ref="U20:V20" si="13">U21+U23+U24+U29+U36</f>
        <v>0</v>
      </c>
      <c r="V20" s="46">
        <f t="shared" si="13"/>
        <v>0</v>
      </c>
    </row>
    <row r="21" spans="1:22" ht="29.25" customHeight="1" x14ac:dyDescent="0.25">
      <c r="A21" s="51" t="s">
        <v>0</v>
      </c>
      <c r="B21" s="52" t="s">
        <v>100</v>
      </c>
      <c r="C21" s="53" t="s">
        <v>49</v>
      </c>
      <c r="D21" s="54">
        <v>22100</v>
      </c>
      <c r="E21" s="53" t="s">
        <v>113</v>
      </c>
      <c r="F21" s="48">
        <f>SUM(G21:T21)</f>
        <v>44400</v>
      </c>
      <c r="G21" s="48">
        <f>44400</f>
        <v>44400</v>
      </c>
      <c r="H21" s="48"/>
      <c r="I21" s="48"/>
      <c r="J21" s="48"/>
      <c r="K21" s="48"/>
      <c r="L21" s="48"/>
      <c r="M21" s="48"/>
      <c r="N21" s="48"/>
      <c r="O21" s="48"/>
      <c r="P21" s="48"/>
      <c r="Q21" s="48"/>
      <c r="R21" s="48"/>
      <c r="S21" s="48"/>
      <c r="T21" s="49"/>
      <c r="U21" s="116"/>
      <c r="V21" s="49"/>
    </row>
    <row r="22" spans="1:22" ht="32.25" customHeight="1" x14ac:dyDescent="0.25">
      <c r="A22" s="51" t="s">
        <v>682</v>
      </c>
      <c r="B22" s="167" t="s">
        <v>100</v>
      </c>
      <c r="C22" s="53" t="s">
        <v>50</v>
      </c>
      <c r="D22" s="54">
        <v>22299</v>
      </c>
      <c r="E22" s="53" t="s">
        <v>60</v>
      </c>
      <c r="F22" s="48">
        <f>SUM(G22:T22)</f>
        <v>0</v>
      </c>
      <c r="G22" s="48">
        <v>0</v>
      </c>
      <c r="H22" s="48"/>
      <c r="I22" s="48"/>
      <c r="J22" s="48"/>
      <c r="K22" s="48"/>
      <c r="L22" s="48"/>
      <c r="M22" s="48"/>
      <c r="N22" s="48"/>
      <c r="O22" s="48"/>
      <c r="P22" s="48"/>
      <c r="Q22" s="48"/>
      <c r="R22" s="48"/>
      <c r="S22" s="48"/>
      <c r="T22" s="49"/>
    </row>
    <row r="23" spans="1:22" ht="27" customHeight="1" x14ac:dyDescent="0.25">
      <c r="A23" s="51" t="s">
        <v>93</v>
      </c>
      <c r="B23" s="52" t="s">
        <v>100</v>
      </c>
      <c r="C23" s="53" t="s">
        <v>49</v>
      </c>
      <c r="D23" s="54">
        <v>22299</v>
      </c>
      <c r="E23" s="53" t="s">
        <v>60</v>
      </c>
      <c r="F23" s="48">
        <f>SUM(G23:T23)</f>
        <v>60000</v>
      </c>
      <c r="G23" s="48">
        <f>60000</f>
        <v>60000</v>
      </c>
      <c r="H23" s="48"/>
      <c r="I23" s="48"/>
      <c r="J23" s="48"/>
      <c r="K23" s="48"/>
      <c r="L23" s="48"/>
      <c r="M23" s="48"/>
      <c r="N23" s="48"/>
      <c r="O23" s="48"/>
      <c r="P23" s="48"/>
      <c r="Q23" s="48"/>
      <c r="R23" s="48"/>
      <c r="S23" s="48"/>
      <c r="T23" s="49"/>
      <c r="U23" s="116"/>
      <c r="V23" s="49"/>
    </row>
    <row r="24" spans="1:22" ht="31.5" customHeight="1" x14ac:dyDescent="0.3">
      <c r="A24" s="857" t="s">
        <v>19</v>
      </c>
      <c r="B24" s="858"/>
      <c r="C24" s="859"/>
      <c r="D24" s="900">
        <v>223</v>
      </c>
      <c r="E24" s="901"/>
      <c r="F24" s="48">
        <f>SUM(F25:F28)</f>
        <v>5100029</v>
      </c>
      <c r="G24" s="48">
        <f>SUM(G25:G28)</f>
        <v>5100029</v>
      </c>
      <c r="H24" s="48">
        <f t="shared" ref="H24" si="14">SUM(H25:H28)</f>
        <v>0</v>
      </c>
      <c r="I24" s="48">
        <f t="shared" ref="I24:T24" si="15">SUM(I25:I28)</f>
        <v>0</v>
      </c>
      <c r="J24" s="48">
        <f t="shared" si="15"/>
        <v>0</v>
      </c>
      <c r="K24" s="48">
        <f t="shared" si="15"/>
        <v>0</v>
      </c>
      <c r="L24" s="48">
        <f t="shared" si="15"/>
        <v>0</v>
      </c>
      <c r="M24" s="48">
        <f t="shared" si="15"/>
        <v>0</v>
      </c>
      <c r="N24" s="48">
        <f t="shared" si="15"/>
        <v>0</v>
      </c>
      <c r="O24" s="48">
        <f t="shared" si="15"/>
        <v>0</v>
      </c>
      <c r="P24" s="48">
        <f t="shared" si="15"/>
        <v>0</v>
      </c>
      <c r="Q24" s="48">
        <f t="shared" si="15"/>
        <v>0</v>
      </c>
      <c r="R24" s="48">
        <f t="shared" si="15"/>
        <v>0</v>
      </c>
      <c r="S24" s="48">
        <f t="shared" si="15"/>
        <v>0</v>
      </c>
      <c r="T24" s="49">
        <f t="shared" si="15"/>
        <v>0</v>
      </c>
      <c r="U24" s="116">
        <f t="shared" ref="U24:V24" si="16">SUM(U25:U28)</f>
        <v>0</v>
      </c>
      <c r="V24" s="49">
        <f t="shared" si="16"/>
        <v>0</v>
      </c>
    </row>
    <row r="25" spans="1:22" ht="24.75" customHeight="1" x14ac:dyDescent="0.25">
      <c r="A25" s="37" t="s">
        <v>20</v>
      </c>
      <c r="B25" s="40" t="s">
        <v>102</v>
      </c>
      <c r="C25" s="125" t="s">
        <v>543</v>
      </c>
      <c r="D25" s="67">
        <v>22301</v>
      </c>
      <c r="E25" s="125" t="s">
        <v>69</v>
      </c>
      <c r="F25" s="13">
        <f>SUM(G25:T25)</f>
        <v>4427851</v>
      </c>
      <c r="G25" s="13">
        <f>4427851</f>
        <v>4427851</v>
      </c>
      <c r="H25" s="13"/>
      <c r="I25" s="13"/>
      <c r="J25" s="13"/>
      <c r="K25" s="13"/>
      <c r="L25" s="13"/>
      <c r="M25" s="13"/>
      <c r="N25" s="13"/>
      <c r="O25" s="13"/>
      <c r="P25" s="13"/>
      <c r="Q25" s="13"/>
      <c r="R25" s="13"/>
      <c r="S25" s="13"/>
      <c r="T25" s="18"/>
      <c r="U25" s="112"/>
      <c r="V25" s="18"/>
    </row>
    <row r="26" spans="1:22" ht="33.75" customHeight="1" x14ac:dyDescent="0.25">
      <c r="A26" s="20" t="s">
        <v>5</v>
      </c>
      <c r="B26" s="40" t="s">
        <v>102</v>
      </c>
      <c r="C26" s="125" t="s">
        <v>543</v>
      </c>
      <c r="D26" s="67">
        <v>22302</v>
      </c>
      <c r="E26" s="125" t="s">
        <v>69</v>
      </c>
      <c r="F26" s="13">
        <f>SUM(G26:T26)</f>
        <v>90734</v>
      </c>
      <c r="G26" s="13">
        <f>90734</f>
        <v>90734</v>
      </c>
      <c r="H26" s="13"/>
      <c r="I26" s="13"/>
      <c r="J26" s="13"/>
      <c r="K26" s="13"/>
      <c r="L26" s="13"/>
      <c r="M26" s="13"/>
      <c r="N26" s="13"/>
      <c r="O26" s="13"/>
      <c r="P26" s="13"/>
      <c r="Q26" s="13"/>
      <c r="R26" s="13"/>
      <c r="S26" s="13"/>
      <c r="T26" s="18"/>
      <c r="U26" s="112"/>
      <c r="V26" s="18"/>
    </row>
    <row r="27" spans="1:22" ht="31.5" customHeight="1" x14ac:dyDescent="0.25">
      <c r="A27" s="37" t="s">
        <v>21</v>
      </c>
      <c r="B27" s="40" t="s">
        <v>102</v>
      </c>
      <c r="C27" s="318" t="s">
        <v>543</v>
      </c>
      <c r="D27" s="67">
        <v>22303</v>
      </c>
      <c r="E27" s="318" t="s">
        <v>69</v>
      </c>
      <c r="F27" s="13">
        <f>SUM(G27:T27)</f>
        <v>497736</v>
      </c>
      <c r="G27" s="13">
        <f>497736</f>
        <v>497736</v>
      </c>
      <c r="H27" s="13"/>
      <c r="I27" s="13"/>
      <c r="J27" s="13"/>
      <c r="K27" s="13"/>
      <c r="L27" s="13"/>
      <c r="M27" s="13"/>
      <c r="N27" s="13"/>
      <c r="O27" s="13"/>
      <c r="P27" s="13"/>
      <c r="Q27" s="13"/>
      <c r="R27" s="13"/>
      <c r="S27" s="13"/>
      <c r="T27" s="18"/>
      <c r="U27" s="112"/>
      <c r="V27" s="18"/>
    </row>
    <row r="28" spans="1:22" ht="31.5" customHeight="1" x14ac:dyDescent="0.25">
      <c r="A28" s="37" t="s">
        <v>665</v>
      </c>
      <c r="B28" s="40" t="s">
        <v>102</v>
      </c>
      <c r="C28" s="318" t="s">
        <v>49</v>
      </c>
      <c r="D28" s="67">
        <v>22304</v>
      </c>
      <c r="E28" s="318" t="s">
        <v>69</v>
      </c>
      <c r="F28" s="13">
        <f>SUM(G28:T28)</f>
        <v>83708</v>
      </c>
      <c r="G28" s="13">
        <f>83708</f>
        <v>83708</v>
      </c>
      <c r="H28" s="13"/>
      <c r="I28" s="13"/>
      <c r="J28" s="13"/>
      <c r="K28" s="13"/>
      <c r="L28" s="13"/>
      <c r="M28" s="13"/>
      <c r="N28" s="13"/>
      <c r="O28" s="13"/>
      <c r="P28" s="13"/>
      <c r="Q28" s="13"/>
      <c r="R28" s="13"/>
      <c r="S28" s="13"/>
      <c r="T28" s="18"/>
    </row>
    <row r="29" spans="1:22" ht="36" customHeight="1" x14ac:dyDescent="0.3">
      <c r="A29" s="857" t="s">
        <v>103</v>
      </c>
      <c r="B29" s="858"/>
      <c r="C29" s="859"/>
      <c r="D29" s="860">
        <v>225</v>
      </c>
      <c r="E29" s="861"/>
      <c r="F29" s="48">
        <f>SUM(F30:F35)</f>
        <v>1119598</v>
      </c>
      <c r="G29" s="48">
        <f>SUM(G30:G35)</f>
        <v>1119598</v>
      </c>
      <c r="H29" s="48">
        <f t="shared" ref="H29" si="17">SUM(H30:H32)</f>
        <v>0</v>
      </c>
      <c r="I29" s="48">
        <f t="shared" ref="I29:T29" si="18">SUM(I30:I32)</f>
        <v>0</v>
      </c>
      <c r="J29" s="48">
        <f t="shared" si="18"/>
        <v>0</v>
      </c>
      <c r="K29" s="48">
        <f t="shared" si="18"/>
        <v>0</v>
      </c>
      <c r="L29" s="48">
        <f t="shared" si="18"/>
        <v>0</v>
      </c>
      <c r="M29" s="48">
        <f t="shared" si="18"/>
        <v>0</v>
      </c>
      <c r="N29" s="48">
        <f t="shared" si="18"/>
        <v>0</v>
      </c>
      <c r="O29" s="48">
        <f t="shared" si="18"/>
        <v>0</v>
      </c>
      <c r="P29" s="48">
        <f t="shared" si="18"/>
        <v>0</v>
      </c>
      <c r="Q29" s="48">
        <f t="shared" si="18"/>
        <v>0</v>
      </c>
      <c r="R29" s="48">
        <f t="shared" si="18"/>
        <v>0</v>
      </c>
      <c r="S29" s="48">
        <f t="shared" si="18"/>
        <v>0</v>
      </c>
      <c r="T29" s="49">
        <f t="shared" si="18"/>
        <v>0</v>
      </c>
      <c r="U29" s="116">
        <f t="shared" ref="U29:V29" si="19">SUM(U30:U32)</f>
        <v>0</v>
      </c>
      <c r="V29" s="49">
        <f t="shared" si="19"/>
        <v>0</v>
      </c>
    </row>
    <row r="30" spans="1:22" ht="35.25" customHeight="1" x14ac:dyDescent="0.25">
      <c r="A30" s="42" t="s">
        <v>54</v>
      </c>
      <c r="B30" s="40" t="s">
        <v>100</v>
      </c>
      <c r="C30" s="125" t="s">
        <v>49</v>
      </c>
      <c r="D30" s="67">
        <v>22501</v>
      </c>
      <c r="E30" s="125" t="s">
        <v>104</v>
      </c>
      <c r="F30" s="13">
        <f t="shared" ref="F30:F45" si="20">SUM(G30:T30)</f>
        <v>219500</v>
      </c>
      <c r="G30" s="13">
        <f>219500</f>
        <v>219500</v>
      </c>
      <c r="H30" s="13"/>
      <c r="I30" s="13"/>
      <c r="J30" s="13"/>
      <c r="K30" s="13"/>
      <c r="L30" s="13"/>
      <c r="M30" s="13"/>
      <c r="N30" s="13"/>
      <c r="O30" s="13"/>
      <c r="P30" s="13"/>
      <c r="Q30" s="13"/>
      <c r="R30" s="13"/>
      <c r="S30" s="13"/>
      <c r="T30" s="18"/>
      <c r="U30" s="112"/>
      <c r="V30" s="18"/>
    </row>
    <row r="31" spans="1:22" ht="23.25" customHeight="1" x14ac:dyDescent="0.25">
      <c r="A31" s="42" t="s">
        <v>58</v>
      </c>
      <c r="B31" s="40" t="s">
        <v>100</v>
      </c>
      <c r="C31" s="125" t="s">
        <v>49</v>
      </c>
      <c r="D31" s="67">
        <v>22502</v>
      </c>
      <c r="E31" s="125" t="s">
        <v>104</v>
      </c>
      <c r="F31" s="13">
        <f t="shared" si="20"/>
        <v>35000</v>
      </c>
      <c r="G31" s="13">
        <f>35000</f>
        <v>35000</v>
      </c>
      <c r="H31" s="13"/>
      <c r="I31" s="13"/>
      <c r="J31" s="13"/>
      <c r="K31" s="13"/>
      <c r="L31" s="13"/>
      <c r="M31" s="13"/>
      <c r="N31" s="13"/>
      <c r="O31" s="13"/>
      <c r="P31" s="13"/>
      <c r="Q31" s="13"/>
      <c r="R31" s="13"/>
      <c r="S31" s="13"/>
      <c r="T31" s="18"/>
      <c r="U31" s="112"/>
      <c r="V31" s="18"/>
    </row>
    <row r="32" spans="1:22" ht="24.75" customHeight="1" x14ac:dyDescent="0.25">
      <c r="A32" s="43" t="s">
        <v>56</v>
      </c>
      <c r="B32" s="40" t="s">
        <v>100</v>
      </c>
      <c r="C32" s="125" t="s">
        <v>49</v>
      </c>
      <c r="D32" s="67">
        <v>22503</v>
      </c>
      <c r="E32" s="125" t="s">
        <v>104</v>
      </c>
      <c r="F32" s="13">
        <f t="shared" si="20"/>
        <v>235098</v>
      </c>
      <c r="G32" s="13">
        <f>235098</f>
        <v>235098</v>
      </c>
      <c r="H32" s="13"/>
      <c r="I32" s="13"/>
      <c r="J32" s="13"/>
      <c r="K32" s="13"/>
      <c r="L32" s="13"/>
      <c r="M32" s="13"/>
      <c r="N32" s="13"/>
      <c r="O32" s="13"/>
      <c r="P32" s="13"/>
      <c r="Q32" s="13"/>
      <c r="R32" s="13"/>
      <c r="S32" s="13"/>
      <c r="T32" s="18"/>
      <c r="U32" s="112"/>
      <c r="V32" s="18"/>
    </row>
    <row r="33" spans="1:22" ht="32.25" customHeight="1" x14ac:dyDescent="0.25">
      <c r="A33" s="43" t="s">
        <v>57</v>
      </c>
      <c r="B33" s="40" t="s">
        <v>100</v>
      </c>
      <c r="C33" s="125" t="s">
        <v>49</v>
      </c>
      <c r="D33" s="67">
        <v>22504</v>
      </c>
      <c r="E33" s="125" t="s">
        <v>104</v>
      </c>
      <c r="F33" s="13">
        <f t="shared" si="20"/>
        <v>30000</v>
      </c>
      <c r="G33" s="13">
        <f>30000</f>
        <v>30000</v>
      </c>
      <c r="H33" s="13"/>
      <c r="I33" s="13"/>
      <c r="J33" s="13"/>
      <c r="K33" s="13"/>
      <c r="L33" s="13"/>
      <c r="M33" s="13"/>
      <c r="N33" s="13"/>
      <c r="O33" s="13"/>
      <c r="P33" s="13"/>
      <c r="Q33" s="13"/>
      <c r="R33" s="13"/>
      <c r="S33" s="13"/>
      <c r="T33" s="18"/>
      <c r="U33" s="112"/>
      <c r="V33" s="18"/>
    </row>
    <row r="34" spans="1:22" ht="25.5" customHeight="1" x14ac:dyDescent="0.25">
      <c r="A34" s="42" t="s">
        <v>55</v>
      </c>
      <c r="B34" s="40" t="s">
        <v>100</v>
      </c>
      <c r="C34" s="125" t="s">
        <v>49</v>
      </c>
      <c r="D34" s="67">
        <v>22505</v>
      </c>
      <c r="E34" s="125" t="s">
        <v>104</v>
      </c>
      <c r="F34" s="13">
        <f t="shared" si="20"/>
        <v>0</v>
      </c>
      <c r="G34" s="13">
        <f>0</f>
        <v>0</v>
      </c>
      <c r="H34" s="13"/>
      <c r="I34" s="13"/>
      <c r="J34" s="13"/>
      <c r="K34" s="13"/>
      <c r="L34" s="13"/>
      <c r="M34" s="13"/>
      <c r="N34" s="13"/>
      <c r="O34" s="13"/>
      <c r="P34" s="13"/>
      <c r="Q34" s="13"/>
      <c r="R34" s="13"/>
      <c r="S34" s="13"/>
      <c r="T34" s="18"/>
      <c r="U34" s="112"/>
      <c r="V34" s="18"/>
    </row>
    <row r="35" spans="1:22" ht="34.5" customHeight="1" x14ac:dyDescent="0.25">
      <c r="A35" s="42" t="s">
        <v>22</v>
      </c>
      <c r="B35" s="40" t="s">
        <v>100</v>
      </c>
      <c r="C35" s="125" t="s">
        <v>49</v>
      </c>
      <c r="D35" s="67">
        <v>22599</v>
      </c>
      <c r="E35" s="125" t="s">
        <v>104</v>
      </c>
      <c r="F35" s="13">
        <f t="shared" si="20"/>
        <v>600000</v>
      </c>
      <c r="G35" s="13">
        <f>600000</f>
        <v>600000</v>
      </c>
      <c r="H35" s="13"/>
      <c r="I35" s="13"/>
      <c r="J35" s="13"/>
      <c r="K35" s="13"/>
      <c r="L35" s="13"/>
      <c r="M35" s="13"/>
      <c r="N35" s="13"/>
      <c r="O35" s="13"/>
      <c r="P35" s="13"/>
      <c r="Q35" s="13"/>
      <c r="R35" s="13"/>
      <c r="S35" s="13"/>
      <c r="T35" s="18"/>
      <c r="U35" s="112"/>
      <c r="V35" s="18"/>
    </row>
    <row r="36" spans="1:22" ht="28.5" customHeight="1" x14ac:dyDescent="0.3">
      <c r="A36" s="862" t="s">
        <v>109</v>
      </c>
      <c r="B36" s="863"/>
      <c r="C36" s="863"/>
      <c r="D36" s="860">
        <v>226</v>
      </c>
      <c r="E36" s="861"/>
      <c r="F36" s="44">
        <f t="shared" si="20"/>
        <v>1739488</v>
      </c>
      <c r="G36" s="44">
        <f t="shared" ref="G36" si="21">SUM(G37:G45)</f>
        <v>1639488</v>
      </c>
      <c r="H36" s="44">
        <f t="shared" ref="H36" si="22">SUM(H37:H45)</f>
        <v>100000</v>
      </c>
      <c r="I36" s="44">
        <f t="shared" ref="I36:T36" si="23">SUM(I37:I45)</f>
        <v>0</v>
      </c>
      <c r="J36" s="44">
        <f t="shared" si="23"/>
        <v>0</v>
      </c>
      <c r="K36" s="44">
        <f t="shared" si="23"/>
        <v>0</v>
      </c>
      <c r="L36" s="44">
        <f t="shared" si="23"/>
        <v>0</v>
      </c>
      <c r="M36" s="44">
        <f t="shared" si="23"/>
        <v>0</v>
      </c>
      <c r="N36" s="44">
        <f t="shared" si="23"/>
        <v>0</v>
      </c>
      <c r="O36" s="44">
        <f t="shared" si="23"/>
        <v>0</v>
      </c>
      <c r="P36" s="44">
        <f t="shared" si="23"/>
        <v>0</v>
      </c>
      <c r="Q36" s="44">
        <f t="shared" si="23"/>
        <v>0</v>
      </c>
      <c r="R36" s="44">
        <f t="shared" si="23"/>
        <v>0</v>
      </c>
      <c r="S36" s="44">
        <f t="shared" si="23"/>
        <v>0</v>
      </c>
      <c r="T36" s="50">
        <f t="shared" si="23"/>
        <v>0</v>
      </c>
      <c r="U36" s="113">
        <f t="shared" ref="U36:V36" si="24">SUM(U37:U45)</f>
        <v>0</v>
      </c>
      <c r="V36" s="50">
        <f t="shared" si="24"/>
        <v>0</v>
      </c>
    </row>
    <row r="37" spans="1:22" ht="24" customHeight="1" x14ac:dyDescent="0.25">
      <c r="A37" s="43" t="s">
        <v>33</v>
      </c>
      <c r="B37" s="40" t="s">
        <v>100</v>
      </c>
      <c r="C37" s="125" t="s">
        <v>49</v>
      </c>
      <c r="D37" s="67">
        <v>22601</v>
      </c>
      <c r="E37" s="125" t="s">
        <v>110</v>
      </c>
      <c r="F37" s="13">
        <f t="shared" si="20"/>
        <v>0</v>
      </c>
      <c r="G37" s="13">
        <f>0</f>
        <v>0</v>
      </c>
      <c r="H37" s="13"/>
      <c r="I37" s="13"/>
      <c r="J37" s="13"/>
      <c r="K37" s="13"/>
      <c r="L37" s="13"/>
      <c r="M37" s="13"/>
      <c r="N37" s="13"/>
      <c r="O37" s="13"/>
      <c r="P37" s="13"/>
      <c r="Q37" s="13"/>
      <c r="R37" s="13"/>
      <c r="S37" s="13"/>
      <c r="T37" s="18"/>
      <c r="U37" s="112"/>
      <c r="V37" s="18"/>
    </row>
    <row r="38" spans="1:22" ht="31.5" customHeight="1" x14ac:dyDescent="0.25">
      <c r="A38" s="42" t="s">
        <v>111</v>
      </c>
      <c r="B38" s="40" t="s">
        <v>100</v>
      </c>
      <c r="C38" s="125" t="s">
        <v>50</v>
      </c>
      <c r="D38" s="67">
        <v>22602</v>
      </c>
      <c r="E38" s="125" t="s">
        <v>110</v>
      </c>
      <c r="F38" s="13">
        <f t="shared" si="20"/>
        <v>0</v>
      </c>
      <c r="G38" s="154">
        <f>0</f>
        <v>0</v>
      </c>
      <c r="H38" s="13"/>
      <c r="I38" s="13"/>
      <c r="J38" s="13"/>
      <c r="K38" s="13"/>
      <c r="L38" s="13"/>
      <c r="M38" s="13"/>
      <c r="N38" s="13"/>
      <c r="O38" s="13"/>
      <c r="P38" s="13"/>
      <c r="Q38" s="13"/>
      <c r="R38" s="13"/>
      <c r="S38" s="13"/>
      <c r="T38" s="18"/>
      <c r="U38" s="112"/>
      <c r="V38" s="18"/>
    </row>
    <row r="39" spans="1:22" ht="34.5" customHeight="1" x14ac:dyDescent="0.25">
      <c r="A39" s="42" t="s">
        <v>114</v>
      </c>
      <c r="B39" s="40" t="s">
        <v>100</v>
      </c>
      <c r="C39" s="125" t="s">
        <v>115</v>
      </c>
      <c r="D39" s="67">
        <v>22602</v>
      </c>
      <c r="E39" s="125" t="s">
        <v>110</v>
      </c>
      <c r="F39" s="13">
        <f t="shared" si="20"/>
        <v>0</v>
      </c>
      <c r="G39" s="154">
        <f>0</f>
        <v>0</v>
      </c>
      <c r="H39" s="13"/>
      <c r="I39" s="13"/>
      <c r="J39" s="13"/>
      <c r="K39" s="13"/>
      <c r="L39" s="13"/>
      <c r="M39" s="13"/>
      <c r="N39" s="13"/>
      <c r="O39" s="13"/>
      <c r="P39" s="13"/>
      <c r="Q39" s="13"/>
      <c r="R39" s="13"/>
      <c r="S39" s="13"/>
      <c r="T39" s="18"/>
      <c r="U39" s="112"/>
      <c r="V39" s="18"/>
    </row>
    <row r="40" spans="1:22" ht="32.25" customHeight="1" x14ac:dyDescent="0.25">
      <c r="A40" s="182" t="s">
        <v>25</v>
      </c>
      <c r="B40" s="40" t="s">
        <v>100</v>
      </c>
      <c r="C40" s="181" t="s">
        <v>48</v>
      </c>
      <c r="D40" s="67">
        <v>22699</v>
      </c>
      <c r="E40" s="181" t="s">
        <v>110</v>
      </c>
      <c r="F40" s="13">
        <f>SUM(G40:T40)</f>
        <v>0</v>
      </c>
      <c r="G40" s="13">
        <v>0</v>
      </c>
      <c r="H40" s="13"/>
      <c r="I40" s="13"/>
      <c r="J40" s="13"/>
      <c r="K40" s="13"/>
      <c r="L40" s="13"/>
      <c r="M40" s="13"/>
      <c r="N40" s="13"/>
      <c r="O40" s="13"/>
      <c r="P40" s="13"/>
      <c r="Q40" s="13"/>
      <c r="R40" s="13"/>
      <c r="S40" s="13"/>
      <c r="T40" s="36"/>
    </row>
    <row r="41" spans="1:22" ht="22.5" customHeight="1" x14ac:dyDescent="0.25">
      <c r="A41" s="42" t="s">
        <v>23</v>
      </c>
      <c r="B41" s="40" t="s">
        <v>100</v>
      </c>
      <c r="C41" s="125" t="s">
        <v>49</v>
      </c>
      <c r="D41" s="67">
        <v>22603</v>
      </c>
      <c r="E41" s="125" t="s">
        <v>110</v>
      </c>
      <c r="F41" s="13">
        <f t="shared" si="20"/>
        <v>1333770</v>
      </c>
      <c r="G41" s="13">
        <f>1333770</f>
        <v>1333770</v>
      </c>
      <c r="H41" s="13"/>
      <c r="I41" s="13"/>
      <c r="J41" s="13"/>
      <c r="K41" s="13"/>
      <c r="L41" s="13"/>
      <c r="M41" s="13"/>
      <c r="N41" s="13"/>
      <c r="O41" s="13"/>
      <c r="P41" s="13"/>
      <c r="Q41" s="13"/>
      <c r="R41" s="13"/>
      <c r="S41" s="13"/>
      <c r="T41" s="18"/>
      <c r="U41" s="112"/>
      <c r="V41" s="18"/>
    </row>
    <row r="42" spans="1:22" ht="34.5" customHeight="1" x14ac:dyDescent="0.25">
      <c r="A42" s="42" t="s">
        <v>24</v>
      </c>
      <c r="B42" s="40" t="s">
        <v>100</v>
      </c>
      <c r="C42" s="125" t="s">
        <v>49</v>
      </c>
      <c r="D42" s="67">
        <v>22605</v>
      </c>
      <c r="E42" s="125" t="s">
        <v>110</v>
      </c>
      <c r="F42" s="13">
        <f t="shared" si="20"/>
        <v>25000</v>
      </c>
      <c r="G42" s="13">
        <f>25000</f>
        <v>25000</v>
      </c>
      <c r="H42" s="13"/>
      <c r="I42" s="13"/>
      <c r="J42" s="13"/>
      <c r="K42" s="13"/>
      <c r="L42" s="13"/>
      <c r="M42" s="13"/>
      <c r="N42" s="13"/>
      <c r="O42" s="13"/>
      <c r="P42" s="13"/>
      <c r="Q42" s="13"/>
      <c r="R42" s="13"/>
      <c r="S42" s="13"/>
      <c r="T42" s="18"/>
      <c r="U42" s="112"/>
      <c r="V42" s="18"/>
    </row>
    <row r="43" spans="1:22" ht="51" customHeight="1" x14ac:dyDescent="0.25">
      <c r="A43" s="42" t="s">
        <v>116</v>
      </c>
      <c r="B43" s="40" t="s">
        <v>100</v>
      </c>
      <c r="C43" s="125" t="s">
        <v>50</v>
      </c>
      <c r="D43" s="67">
        <v>22606</v>
      </c>
      <c r="E43" s="125" t="s">
        <v>110</v>
      </c>
      <c r="F43" s="13">
        <f t="shared" si="20"/>
        <v>0</v>
      </c>
      <c r="G43" s="154">
        <v>0</v>
      </c>
      <c r="H43" s="13"/>
      <c r="I43" s="13"/>
      <c r="J43" s="13"/>
      <c r="K43" s="13"/>
      <c r="L43" s="13"/>
      <c r="M43" s="13"/>
      <c r="N43" s="13"/>
      <c r="O43" s="13"/>
      <c r="P43" s="13"/>
      <c r="Q43" s="13"/>
      <c r="R43" s="13"/>
      <c r="S43" s="13"/>
      <c r="T43" s="18"/>
      <c r="U43" s="112"/>
      <c r="V43" s="18"/>
    </row>
    <row r="44" spans="1:22" ht="49.5" customHeight="1" x14ac:dyDescent="0.25">
      <c r="A44" s="42" t="s">
        <v>117</v>
      </c>
      <c r="B44" s="40" t="s">
        <v>100</v>
      </c>
      <c r="C44" s="125" t="s">
        <v>50</v>
      </c>
      <c r="D44" s="67">
        <v>22699</v>
      </c>
      <c r="E44" s="125" t="s">
        <v>110</v>
      </c>
      <c r="F44" s="13">
        <f t="shared" si="20"/>
        <v>30000</v>
      </c>
      <c r="G44" s="154">
        <f>30000</f>
        <v>30000</v>
      </c>
      <c r="H44" s="13"/>
      <c r="I44" s="13"/>
      <c r="J44" s="13"/>
      <c r="K44" s="13"/>
      <c r="L44" s="13"/>
      <c r="M44" s="13"/>
      <c r="N44" s="13"/>
      <c r="O44" s="13"/>
      <c r="P44" s="13"/>
      <c r="Q44" s="13"/>
      <c r="R44" s="13"/>
      <c r="S44" s="13"/>
      <c r="T44" s="18"/>
      <c r="U44" s="112"/>
      <c r="V44" s="18"/>
    </row>
    <row r="45" spans="1:22" ht="32.25" customHeight="1" x14ac:dyDescent="0.25">
      <c r="A45" s="42" t="s">
        <v>25</v>
      </c>
      <c r="B45" s="40" t="s">
        <v>100</v>
      </c>
      <c r="C45" s="125" t="s">
        <v>49</v>
      </c>
      <c r="D45" s="67">
        <v>22699</v>
      </c>
      <c r="E45" s="125" t="s">
        <v>110</v>
      </c>
      <c r="F45" s="13">
        <f t="shared" si="20"/>
        <v>350718</v>
      </c>
      <c r="G45" s="13">
        <f>250718</f>
        <v>250718</v>
      </c>
      <c r="H45" s="13">
        <f>100000</f>
        <v>100000</v>
      </c>
      <c r="I45" s="13"/>
      <c r="J45" s="13"/>
      <c r="K45" s="13"/>
      <c r="L45" s="13"/>
      <c r="M45" s="13"/>
      <c r="N45" s="13"/>
      <c r="O45" s="13"/>
      <c r="P45" s="13"/>
      <c r="Q45" s="13"/>
      <c r="R45" s="13"/>
      <c r="S45" s="13"/>
      <c r="T45" s="36"/>
      <c r="U45" s="112"/>
      <c r="V45" s="36"/>
    </row>
    <row r="46" spans="1:22" ht="28.5" customHeight="1" x14ac:dyDescent="0.3">
      <c r="A46" s="872" t="s">
        <v>499</v>
      </c>
      <c r="B46" s="873"/>
      <c r="C46" s="873"/>
      <c r="D46" s="874">
        <v>26300</v>
      </c>
      <c r="E46" s="875"/>
      <c r="F46" s="45">
        <f t="shared" ref="F46" si="25">SUM(F47)</f>
        <v>0</v>
      </c>
      <c r="G46" s="45">
        <f t="shared" ref="G46" si="26">SUM(G47)</f>
        <v>0</v>
      </c>
      <c r="H46" s="45">
        <f t="shared" ref="H46" si="27">SUM(H47)</f>
        <v>0</v>
      </c>
      <c r="I46" s="45">
        <f t="shared" ref="I46:N46" si="28">I47</f>
        <v>0</v>
      </c>
      <c r="J46" s="45">
        <f t="shared" si="28"/>
        <v>0</v>
      </c>
      <c r="K46" s="45">
        <f t="shared" si="28"/>
        <v>0</v>
      </c>
      <c r="L46" s="45">
        <f t="shared" si="28"/>
        <v>0</v>
      </c>
      <c r="M46" s="45">
        <f t="shared" si="28"/>
        <v>0</v>
      </c>
      <c r="N46" s="45">
        <f t="shared" si="28"/>
        <v>0</v>
      </c>
      <c r="O46" s="45">
        <f t="shared" ref="O46:Q46" si="29">SUM(O47)</f>
        <v>0</v>
      </c>
      <c r="P46" s="45">
        <f t="shared" si="29"/>
        <v>0</v>
      </c>
      <c r="Q46" s="45">
        <f t="shared" si="29"/>
        <v>0</v>
      </c>
      <c r="R46" s="45">
        <f t="shared" ref="R46:T46" si="30">SUM(R47:R49)</f>
        <v>0</v>
      </c>
      <c r="S46" s="45">
        <f t="shared" si="30"/>
        <v>0</v>
      </c>
      <c r="T46" s="46">
        <f t="shared" si="30"/>
        <v>0</v>
      </c>
      <c r="U46" s="115">
        <f t="shared" ref="U46:V46" si="31">SUM(U47:U49)</f>
        <v>0</v>
      </c>
      <c r="V46" s="46">
        <f t="shared" si="31"/>
        <v>0</v>
      </c>
    </row>
    <row r="47" spans="1:22" ht="30.75" customHeight="1" x14ac:dyDescent="0.25">
      <c r="A47" s="42" t="s">
        <v>500</v>
      </c>
      <c r="B47" s="40" t="s">
        <v>100</v>
      </c>
      <c r="C47" s="125" t="s">
        <v>281</v>
      </c>
      <c r="D47" s="67">
        <v>26300</v>
      </c>
      <c r="E47" s="125" t="s">
        <v>501</v>
      </c>
      <c r="F47" s="13">
        <f>SUM(G47:T47)</f>
        <v>0</v>
      </c>
      <c r="G47" s="13">
        <v>0</v>
      </c>
      <c r="H47" s="13"/>
      <c r="I47" s="13"/>
      <c r="J47" s="13"/>
      <c r="K47" s="13"/>
      <c r="L47" s="13"/>
      <c r="M47" s="13"/>
      <c r="N47" s="13"/>
      <c r="O47" s="13"/>
      <c r="P47" s="13"/>
      <c r="Q47" s="13"/>
      <c r="R47" s="13"/>
      <c r="S47" s="13"/>
      <c r="T47" s="18"/>
      <c r="U47" s="112"/>
      <c r="V47" s="18"/>
    </row>
    <row r="48" spans="1:22" ht="28.5" customHeight="1" x14ac:dyDescent="0.3">
      <c r="A48" s="872" t="s">
        <v>121</v>
      </c>
      <c r="B48" s="873"/>
      <c r="C48" s="873"/>
      <c r="D48" s="874">
        <v>266</v>
      </c>
      <c r="E48" s="875"/>
      <c r="F48" s="45">
        <f>SUM(G48:T48)</f>
        <v>90275.73</v>
      </c>
      <c r="G48" s="45">
        <f t="shared" ref="G48" si="32">SUM(G49:G50)</f>
        <v>90275.73</v>
      </c>
      <c r="H48" s="45">
        <f t="shared" ref="H48" si="33">SUM(H49:H50)</f>
        <v>0</v>
      </c>
      <c r="I48" s="45">
        <f t="shared" ref="I48:V48" si="34">SUM(I49:I50)</f>
        <v>0</v>
      </c>
      <c r="J48" s="45">
        <f t="shared" si="34"/>
        <v>0</v>
      </c>
      <c r="K48" s="45">
        <f t="shared" si="34"/>
        <v>0</v>
      </c>
      <c r="L48" s="45">
        <f t="shared" si="34"/>
        <v>0</v>
      </c>
      <c r="M48" s="45">
        <f t="shared" si="34"/>
        <v>0</v>
      </c>
      <c r="N48" s="45">
        <f t="shared" si="34"/>
        <v>0</v>
      </c>
      <c r="O48" s="45">
        <f t="shared" si="34"/>
        <v>0</v>
      </c>
      <c r="P48" s="45">
        <f t="shared" si="34"/>
        <v>0</v>
      </c>
      <c r="Q48" s="45">
        <f t="shared" si="34"/>
        <v>0</v>
      </c>
      <c r="R48" s="45">
        <f t="shared" si="34"/>
        <v>0</v>
      </c>
      <c r="S48" s="45">
        <f t="shared" si="34"/>
        <v>0</v>
      </c>
      <c r="T48" s="46">
        <f t="shared" si="34"/>
        <v>0</v>
      </c>
      <c r="U48" s="115">
        <f t="shared" si="34"/>
        <v>0</v>
      </c>
      <c r="V48" s="46">
        <f t="shared" si="34"/>
        <v>0</v>
      </c>
    </row>
    <row r="49" spans="1:22" ht="39.75" customHeight="1" x14ac:dyDescent="0.25">
      <c r="A49" s="42" t="s">
        <v>118</v>
      </c>
      <c r="B49" s="40" t="s">
        <v>96</v>
      </c>
      <c r="C49" s="125" t="s">
        <v>47</v>
      </c>
      <c r="D49" s="67">
        <v>26600</v>
      </c>
      <c r="E49" s="125" t="s">
        <v>91</v>
      </c>
      <c r="F49" s="13">
        <f>SUM(G49:T49)</f>
        <v>0</v>
      </c>
      <c r="G49" s="154">
        <v>0</v>
      </c>
      <c r="H49" s="13"/>
      <c r="I49" s="13"/>
      <c r="J49" s="13"/>
      <c r="K49" s="13"/>
      <c r="L49" s="13"/>
      <c r="M49" s="13"/>
      <c r="N49" s="13"/>
      <c r="O49" s="13"/>
      <c r="P49" s="13"/>
      <c r="Q49" s="13"/>
      <c r="R49" s="13"/>
      <c r="S49" s="13"/>
      <c r="T49" s="18"/>
      <c r="U49" s="112"/>
      <c r="V49" s="18"/>
    </row>
    <row r="50" spans="1:22" ht="52.5" customHeight="1" x14ac:dyDescent="0.25">
      <c r="A50" s="42" t="s">
        <v>120</v>
      </c>
      <c r="B50" s="40" t="s">
        <v>99</v>
      </c>
      <c r="C50" s="125" t="s">
        <v>50</v>
      </c>
      <c r="D50" s="67">
        <v>26602</v>
      </c>
      <c r="E50" s="125" t="s">
        <v>91</v>
      </c>
      <c r="F50" s="13">
        <f>SUM(G50:T50)</f>
        <v>90275.73</v>
      </c>
      <c r="G50" s="154">
        <f>90275.73</f>
        <v>90275.73</v>
      </c>
      <c r="H50" s="13"/>
      <c r="I50" s="13"/>
      <c r="J50" s="13"/>
      <c r="K50" s="13"/>
      <c r="L50" s="13"/>
      <c r="M50" s="13"/>
      <c r="N50" s="13"/>
      <c r="O50" s="13"/>
      <c r="P50" s="13"/>
      <c r="Q50" s="13"/>
      <c r="R50" s="13"/>
      <c r="S50" s="13"/>
      <c r="T50" s="18"/>
      <c r="U50" s="112"/>
      <c r="V50" s="18"/>
    </row>
    <row r="51" spans="1:22" s="1" customFormat="1" ht="26.25" customHeight="1" x14ac:dyDescent="0.3">
      <c r="A51" s="864" t="s">
        <v>31</v>
      </c>
      <c r="B51" s="865"/>
      <c r="C51" s="865"/>
      <c r="D51" s="874">
        <v>290</v>
      </c>
      <c r="E51" s="875"/>
      <c r="F51" s="45">
        <f>SUM(F52:F57)</f>
        <v>182671</v>
      </c>
      <c r="G51" s="45">
        <f>SUM(G52:G57)</f>
        <v>182671</v>
      </c>
      <c r="H51" s="45">
        <f t="shared" ref="H51" si="35">SUM(H52:H57)</f>
        <v>0</v>
      </c>
      <c r="I51" s="45">
        <f t="shared" ref="I51:T51" si="36">SUM(I52:I57)</f>
        <v>0</v>
      </c>
      <c r="J51" s="45">
        <f t="shared" si="36"/>
        <v>0</v>
      </c>
      <c r="K51" s="45">
        <f t="shared" si="36"/>
        <v>0</v>
      </c>
      <c r="L51" s="45">
        <f t="shared" si="36"/>
        <v>0</v>
      </c>
      <c r="M51" s="45">
        <f t="shared" si="36"/>
        <v>0</v>
      </c>
      <c r="N51" s="45">
        <f t="shared" si="36"/>
        <v>0</v>
      </c>
      <c r="O51" s="45">
        <f t="shared" si="36"/>
        <v>0</v>
      </c>
      <c r="P51" s="45">
        <f t="shared" si="36"/>
        <v>0</v>
      </c>
      <c r="Q51" s="45">
        <f t="shared" si="36"/>
        <v>0</v>
      </c>
      <c r="R51" s="45">
        <f t="shared" si="36"/>
        <v>0</v>
      </c>
      <c r="S51" s="45">
        <f t="shared" si="36"/>
        <v>0</v>
      </c>
      <c r="T51" s="46">
        <f t="shared" si="36"/>
        <v>0</v>
      </c>
      <c r="U51" s="115">
        <f t="shared" ref="U51:V51" si="37">SUM(U52:U57)</f>
        <v>0</v>
      </c>
      <c r="V51" s="46">
        <f t="shared" si="37"/>
        <v>0</v>
      </c>
    </row>
    <row r="52" spans="1:22" ht="30.75" customHeight="1" x14ac:dyDescent="0.25">
      <c r="A52" s="27" t="s">
        <v>513</v>
      </c>
      <c r="B52" s="40" t="s">
        <v>100</v>
      </c>
      <c r="C52" s="915" t="s">
        <v>51</v>
      </c>
      <c r="D52" s="67">
        <v>29101</v>
      </c>
      <c r="E52" s="915" t="s">
        <v>123</v>
      </c>
      <c r="F52" s="13">
        <f>SUM(G52:Q52)</f>
        <v>152000</v>
      </c>
      <c r="G52" s="154">
        <f>152000</f>
        <v>152000</v>
      </c>
      <c r="H52" s="13"/>
      <c r="I52" s="13"/>
      <c r="J52" s="13"/>
      <c r="K52" s="13"/>
      <c r="L52" s="13"/>
      <c r="M52" s="13"/>
      <c r="N52" s="13"/>
      <c r="O52" s="13"/>
      <c r="P52" s="13"/>
      <c r="Q52" s="13"/>
      <c r="R52" s="30"/>
      <c r="S52" s="30"/>
      <c r="T52" s="29"/>
      <c r="U52" s="112"/>
      <c r="V52" s="13"/>
    </row>
    <row r="53" spans="1:22" ht="30.75" customHeight="1" x14ac:dyDescent="0.25">
      <c r="A53" s="27" t="s">
        <v>514</v>
      </c>
      <c r="B53" s="40" t="s">
        <v>100</v>
      </c>
      <c r="C53" s="916"/>
      <c r="D53" s="67">
        <v>29102</v>
      </c>
      <c r="E53" s="916"/>
      <c r="F53" s="13">
        <f>SUM(G53:T53)</f>
        <v>25671</v>
      </c>
      <c r="G53" s="154">
        <f>25671</f>
        <v>25671</v>
      </c>
      <c r="H53" s="13"/>
      <c r="I53" s="13"/>
      <c r="J53" s="13"/>
      <c r="K53" s="13"/>
      <c r="L53" s="13"/>
      <c r="M53" s="13"/>
      <c r="N53" s="13"/>
      <c r="O53" s="13"/>
      <c r="P53" s="13"/>
      <c r="Q53" s="13"/>
      <c r="R53" s="13"/>
      <c r="S53" s="13"/>
      <c r="T53" s="18"/>
      <c r="U53" s="112"/>
      <c r="V53" s="13"/>
    </row>
    <row r="54" spans="1:22" ht="30.75" customHeight="1" x14ac:dyDescent="0.25">
      <c r="A54" s="27" t="s">
        <v>542</v>
      </c>
      <c r="B54" s="40" t="s">
        <v>100</v>
      </c>
      <c r="C54" s="181" t="s">
        <v>52</v>
      </c>
      <c r="D54" s="67">
        <v>29104</v>
      </c>
      <c r="E54" s="181" t="s">
        <v>123</v>
      </c>
      <c r="F54" s="13">
        <f>SUM(G54:T54)</f>
        <v>0</v>
      </c>
      <c r="G54" s="13">
        <v>0</v>
      </c>
      <c r="H54" s="13"/>
      <c r="I54" s="13"/>
      <c r="J54" s="13"/>
      <c r="K54" s="13"/>
      <c r="L54" s="13"/>
      <c r="M54" s="13"/>
      <c r="N54" s="13"/>
      <c r="O54" s="13"/>
      <c r="P54" s="13"/>
      <c r="Q54" s="13"/>
      <c r="R54" s="13"/>
      <c r="S54" s="13"/>
      <c r="T54" s="18"/>
      <c r="U54" s="112"/>
      <c r="V54" s="13"/>
    </row>
    <row r="55" spans="1:22" ht="31.5" customHeight="1" x14ac:dyDescent="0.25">
      <c r="A55" s="58" t="s">
        <v>125</v>
      </c>
      <c r="B55" s="40" t="s">
        <v>100</v>
      </c>
      <c r="C55" s="181" t="s">
        <v>53</v>
      </c>
      <c r="D55" s="67">
        <v>29001</v>
      </c>
      <c r="E55" s="181" t="s">
        <v>127</v>
      </c>
      <c r="F55" s="13">
        <f>SUM(G55:T55)</f>
        <v>0</v>
      </c>
      <c r="G55" s="13">
        <v>0</v>
      </c>
      <c r="H55" s="13"/>
      <c r="I55" s="13"/>
      <c r="J55" s="13"/>
      <c r="K55" s="13"/>
      <c r="L55" s="13"/>
      <c r="M55" s="13"/>
      <c r="N55" s="13"/>
      <c r="O55" s="13"/>
      <c r="P55" s="13"/>
      <c r="Q55" s="13"/>
      <c r="R55" s="13"/>
      <c r="S55" s="13"/>
      <c r="T55" s="18"/>
      <c r="U55" s="112"/>
      <c r="V55" s="13"/>
    </row>
    <row r="56" spans="1:22" ht="38.25" customHeight="1" x14ac:dyDescent="0.25">
      <c r="A56" s="58" t="s">
        <v>126</v>
      </c>
      <c r="B56" s="40" t="s">
        <v>100</v>
      </c>
      <c r="C56" s="181" t="s">
        <v>53</v>
      </c>
      <c r="D56" s="67">
        <v>29001</v>
      </c>
      <c r="E56" s="181" t="s">
        <v>128</v>
      </c>
      <c r="F56" s="13">
        <f>SUM(G56:T56)</f>
        <v>5000</v>
      </c>
      <c r="G56" s="316">
        <f>5000</f>
        <v>5000</v>
      </c>
      <c r="H56" s="13"/>
      <c r="I56" s="13"/>
      <c r="J56" s="13"/>
      <c r="K56" s="13"/>
      <c r="L56" s="13"/>
      <c r="M56" s="13"/>
      <c r="N56" s="13"/>
      <c r="O56" s="13"/>
      <c r="P56" s="13"/>
      <c r="Q56" s="13"/>
      <c r="R56" s="13"/>
      <c r="S56" s="13"/>
      <c r="T56" s="18"/>
      <c r="U56" s="112"/>
      <c r="V56" s="13"/>
    </row>
    <row r="57" spans="1:22" ht="34.5" customHeight="1" x14ac:dyDescent="0.25">
      <c r="A57" s="59" t="s">
        <v>130</v>
      </c>
      <c r="B57" s="40" t="s">
        <v>100</v>
      </c>
      <c r="C57" s="181" t="s">
        <v>53</v>
      </c>
      <c r="D57" s="67">
        <v>29001</v>
      </c>
      <c r="E57" s="181" t="s">
        <v>129</v>
      </c>
      <c r="F57" s="13">
        <f>SUM(G57:T57)</f>
        <v>0</v>
      </c>
      <c r="G57" s="13">
        <v>0</v>
      </c>
      <c r="H57" s="13"/>
      <c r="I57" s="13"/>
      <c r="J57" s="13"/>
      <c r="K57" s="13"/>
      <c r="L57" s="13"/>
      <c r="M57" s="13"/>
      <c r="N57" s="13"/>
      <c r="O57" s="13"/>
      <c r="P57" s="13"/>
      <c r="Q57" s="13"/>
      <c r="R57" s="13"/>
      <c r="S57" s="13"/>
      <c r="T57" s="18"/>
      <c r="U57" s="112"/>
      <c r="V57" s="13"/>
    </row>
    <row r="58" spans="1:22" ht="36" customHeight="1" x14ac:dyDescent="0.3">
      <c r="A58" s="872" t="s">
        <v>131</v>
      </c>
      <c r="B58" s="873"/>
      <c r="C58" s="873"/>
      <c r="D58" s="902">
        <v>300</v>
      </c>
      <c r="E58" s="903"/>
      <c r="F58" s="45">
        <f>F59+F64</f>
        <v>2952566.8</v>
      </c>
      <c r="G58" s="45">
        <f>G59+G64</f>
        <v>328340</v>
      </c>
      <c r="H58" s="45">
        <f t="shared" ref="H58" si="38">H59+H64</f>
        <v>1509300</v>
      </c>
      <c r="I58" s="45">
        <f t="shared" ref="I58:T58" si="39">I59+I64</f>
        <v>0</v>
      </c>
      <c r="J58" s="45">
        <f t="shared" si="39"/>
        <v>0</v>
      </c>
      <c r="K58" s="45">
        <f t="shared" si="39"/>
        <v>0</v>
      </c>
      <c r="L58" s="45">
        <f t="shared" si="39"/>
        <v>0</v>
      </c>
      <c r="M58" s="45">
        <f t="shared" si="39"/>
        <v>0</v>
      </c>
      <c r="N58" s="45">
        <f t="shared" si="39"/>
        <v>0</v>
      </c>
      <c r="O58" s="45">
        <f t="shared" si="39"/>
        <v>1019898</v>
      </c>
      <c r="P58" s="45">
        <f t="shared" si="39"/>
        <v>0</v>
      </c>
      <c r="Q58" s="45">
        <f t="shared" si="39"/>
        <v>0</v>
      </c>
      <c r="R58" s="45">
        <f t="shared" si="39"/>
        <v>0</v>
      </c>
      <c r="S58" s="45">
        <f t="shared" si="39"/>
        <v>68896.800000000003</v>
      </c>
      <c r="T58" s="46">
        <f t="shared" si="39"/>
        <v>26132</v>
      </c>
      <c r="U58" s="115">
        <f t="shared" ref="U58:V58" si="40">U59+U64</f>
        <v>0</v>
      </c>
      <c r="V58" s="46">
        <f t="shared" si="40"/>
        <v>0</v>
      </c>
    </row>
    <row r="59" spans="1:22" ht="30.75" customHeight="1" x14ac:dyDescent="0.3">
      <c r="A59" s="857" t="s">
        <v>13</v>
      </c>
      <c r="B59" s="858"/>
      <c r="C59" s="859"/>
      <c r="D59" s="860">
        <v>310</v>
      </c>
      <c r="E59" s="861"/>
      <c r="F59" s="44">
        <f>SUM(G59:T59)</f>
        <v>1349805</v>
      </c>
      <c r="G59" s="44">
        <f>SUM(G60:G63)</f>
        <v>112340</v>
      </c>
      <c r="H59" s="44">
        <f t="shared" ref="H59" si="41">SUM(H60:H63)</f>
        <v>1237465</v>
      </c>
      <c r="I59" s="44">
        <f t="shared" ref="I59:T59" si="42">SUM(I60:I63)</f>
        <v>0</v>
      </c>
      <c r="J59" s="44">
        <f t="shared" si="42"/>
        <v>0</v>
      </c>
      <c r="K59" s="44">
        <f>SUM(K60:K63)</f>
        <v>0</v>
      </c>
      <c r="L59" s="44">
        <f>SUM(L60:L63)</f>
        <v>0</v>
      </c>
      <c r="M59" s="44">
        <f>SUM(M60:M63)</f>
        <v>0</v>
      </c>
      <c r="N59" s="44">
        <f>SUM(N60:N63)</f>
        <v>0</v>
      </c>
      <c r="O59" s="44">
        <f>SUM(O60:O63)</f>
        <v>0</v>
      </c>
      <c r="P59" s="44">
        <f t="shared" si="42"/>
        <v>0</v>
      </c>
      <c r="Q59" s="44">
        <f t="shared" si="42"/>
        <v>0</v>
      </c>
      <c r="R59" s="44">
        <f t="shared" si="42"/>
        <v>0</v>
      </c>
      <c r="S59" s="44">
        <f t="shared" si="42"/>
        <v>0</v>
      </c>
      <c r="T59" s="50">
        <f t="shared" si="42"/>
        <v>0</v>
      </c>
      <c r="U59" s="113">
        <f t="shared" ref="U59:V59" si="43">SUM(U60:U63)</f>
        <v>0</v>
      </c>
      <c r="V59" s="50">
        <f t="shared" si="43"/>
        <v>0</v>
      </c>
    </row>
    <row r="60" spans="1:22" ht="27.75" customHeight="1" x14ac:dyDescent="0.25">
      <c r="A60" s="16" t="s">
        <v>132</v>
      </c>
      <c r="B60" s="40" t="s">
        <v>133</v>
      </c>
      <c r="C60" s="125" t="s">
        <v>49</v>
      </c>
      <c r="D60" s="67">
        <v>31003</v>
      </c>
      <c r="E60" s="125" t="s">
        <v>61</v>
      </c>
      <c r="F60" s="13">
        <f>SUM(G60:T60)</f>
        <v>632000</v>
      </c>
      <c r="G60" s="13">
        <f>0</f>
        <v>0</v>
      </c>
      <c r="H60" s="13">
        <f>4000*158</f>
        <v>632000</v>
      </c>
      <c r="I60" s="13"/>
      <c r="J60" s="13"/>
      <c r="K60" s="13"/>
      <c r="L60" s="13"/>
      <c r="M60" s="13"/>
      <c r="N60" s="13"/>
      <c r="O60" s="13"/>
      <c r="P60" s="13"/>
      <c r="Q60" s="13"/>
      <c r="R60" s="13"/>
      <c r="S60" s="13"/>
      <c r="T60" s="18"/>
      <c r="U60" s="112"/>
      <c r="V60" s="18"/>
    </row>
    <row r="61" spans="1:22" ht="25.5" customHeight="1" x14ac:dyDescent="0.25">
      <c r="A61" s="16" t="s">
        <v>6</v>
      </c>
      <c r="B61" s="40" t="s">
        <v>133</v>
      </c>
      <c r="C61" s="125" t="s">
        <v>49</v>
      </c>
      <c r="D61" s="67">
        <v>31004</v>
      </c>
      <c r="E61" s="125" t="s">
        <v>61</v>
      </c>
      <c r="F61" s="13">
        <f>SUM(G61:T61)</f>
        <v>0</v>
      </c>
      <c r="G61" s="13">
        <f>0</f>
        <v>0</v>
      </c>
      <c r="H61" s="13">
        <f>60000-60000</f>
        <v>0</v>
      </c>
      <c r="I61" s="13"/>
      <c r="J61" s="13"/>
      <c r="K61" s="13"/>
      <c r="L61" s="13"/>
      <c r="M61" s="13"/>
      <c r="N61" s="13"/>
      <c r="O61" s="13"/>
      <c r="P61" s="13"/>
      <c r="Q61" s="13"/>
      <c r="R61" s="13"/>
      <c r="S61" s="13"/>
      <c r="T61" s="18"/>
      <c r="U61" s="112"/>
      <c r="V61" s="18"/>
    </row>
    <row r="62" spans="1:22" ht="28.5" customHeight="1" x14ac:dyDescent="0.25">
      <c r="A62" s="16" t="s">
        <v>7</v>
      </c>
      <c r="B62" s="40" t="s">
        <v>133</v>
      </c>
      <c r="C62" s="125" t="s">
        <v>49</v>
      </c>
      <c r="D62" s="67">
        <v>31005</v>
      </c>
      <c r="E62" s="125" t="s">
        <v>61</v>
      </c>
      <c r="F62" s="13">
        <f>SUM(G62:T62)</f>
        <v>400265</v>
      </c>
      <c r="G62" s="13">
        <f>60000</f>
        <v>60000</v>
      </c>
      <c r="H62" s="13">
        <v>340265</v>
      </c>
      <c r="I62" s="13"/>
      <c r="J62" s="13"/>
      <c r="K62" s="13"/>
      <c r="L62" s="13"/>
      <c r="M62" s="13"/>
      <c r="N62" s="13"/>
      <c r="O62" s="13"/>
      <c r="P62" s="13"/>
      <c r="Q62" s="13"/>
      <c r="R62" s="13"/>
      <c r="S62" s="13"/>
      <c r="T62" s="18"/>
      <c r="U62" s="112"/>
      <c r="V62" s="18"/>
    </row>
    <row r="63" spans="1:22" ht="36.75" customHeight="1" x14ac:dyDescent="0.25">
      <c r="A63" s="16" t="s">
        <v>8</v>
      </c>
      <c r="B63" s="40" t="s">
        <v>133</v>
      </c>
      <c r="C63" s="125" t="s">
        <v>49</v>
      </c>
      <c r="D63" s="67">
        <v>31099</v>
      </c>
      <c r="E63" s="125" t="s">
        <v>61</v>
      </c>
      <c r="F63" s="13">
        <f>SUM(G63:T63)</f>
        <v>317540</v>
      </c>
      <c r="G63" s="13">
        <f>52340</f>
        <v>52340</v>
      </c>
      <c r="H63" s="13">
        <f>265200</f>
        <v>265200</v>
      </c>
      <c r="I63" s="13"/>
      <c r="J63" s="13"/>
      <c r="K63" s="13"/>
      <c r="L63" s="13"/>
      <c r="M63" s="13"/>
      <c r="N63" s="13"/>
      <c r="O63" s="13"/>
      <c r="P63" s="13"/>
      <c r="Q63" s="13"/>
      <c r="R63" s="13"/>
      <c r="S63" s="13"/>
      <c r="T63" s="18"/>
      <c r="U63" s="112"/>
      <c r="V63" s="18"/>
    </row>
    <row r="64" spans="1:22" ht="39.75" customHeight="1" x14ac:dyDescent="0.3">
      <c r="A64" s="857" t="s">
        <v>14</v>
      </c>
      <c r="B64" s="858"/>
      <c r="C64" s="859"/>
      <c r="D64" s="860">
        <v>340</v>
      </c>
      <c r="E64" s="861"/>
      <c r="F64" s="44">
        <f>F65+F66+F67+F68+F69+F70</f>
        <v>1602761.8</v>
      </c>
      <c r="G64" s="44">
        <f>G65+G66+G67+G68+G69+G70</f>
        <v>216000</v>
      </c>
      <c r="H64" s="44">
        <f t="shared" ref="H64" si="44">H65+H66+H67+H68+H69+H70</f>
        <v>271835</v>
      </c>
      <c r="I64" s="44">
        <f t="shared" ref="I64:T64" si="45">I65+I66+I67+I68+I69+I70</f>
        <v>0</v>
      </c>
      <c r="J64" s="44">
        <f t="shared" si="45"/>
        <v>0</v>
      </c>
      <c r="K64" s="44">
        <f t="shared" si="45"/>
        <v>0</v>
      </c>
      <c r="L64" s="44">
        <f t="shared" si="45"/>
        <v>0</v>
      </c>
      <c r="M64" s="44">
        <f t="shared" si="45"/>
        <v>0</v>
      </c>
      <c r="N64" s="44">
        <f t="shared" si="45"/>
        <v>0</v>
      </c>
      <c r="O64" s="44">
        <f t="shared" si="45"/>
        <v>1019898</v>
      </c>
      <c r="P64" s="44">
        <f t="shared" si="45"/>
        <v>0</v>
      </c>
      <c r="Q64" s="44">
        <f t="shared" si="45"/>
        <v>0</v>
      </c>
      <c r="R64" s="44">
        <f t="shared" si="45"/>
        <v>0</v>
      </c>
      <c r="S64" s="44">
        <f t="shared" si="45"/>
        <v>68896.800000000003</v>
      </c>
      <c r="T64" s="50">
        <f t="shared" si="45"/>
        <v>26132</v>
      </c>
      <c r="U64" s="113">
        <f t="shared" ref="U64:V64" si="46">U65+U66+U67+U68+U69+U70</f>
        <v>0</v>
      </c>
      <c r="V64" s="50">
        <f t="shared" si="46"/>
        <v>0</v>
      </c>
    </row>
    <row r="65" spans="1:22" ht="31.5" customHeight="1" x14ac:dyDescent="0.25">
      <c r="A65" s="42" t="s">
        <v>3</v>
      </c>
      <c r="B65" s="40" t="s">
        <v>100</v>
      </c>
      <c r="C65" s="125" t="s">
        <v>49</v>
      </c>
      <c r="D65" s="67">
        <v>34001</v>
      </c>
      <c r="E65" s="125" t="s">
        <v>82</v>
      </c>
      <c r="F65" s="13">
        <f>SUM(G65:T65)</f>
        <v>3000</v>
      </c>
      <c r="G65" s="13">
        <f>3000</f>
        <v>3000</v>
      </c>
      <c r="H65" s="13"/>
      <c r="I65" s="13"/>
      <c r="J65" s="13"/>
      <c r="K65" s="13"/>
      <c r="L65" s="13"/>
      <c r="M65" s="13"/>
      <c r="N65" s="13"/>
      <c r="O65" s="13"/>
      <c r="P65" s="13"/>
      <c r="Q65" s="13"/>
      <c r="R65" s="33"/>
      <c r="S65" s="33"/>
      <c r="T65" s="18"/>
      <c r="U65" s="118"/>
      <c r="V65" s="18">
        <f>525-525</f>
        <v>0</v>
      </c>
    </row>
    <row r="66" spans="1:22" ht="24.75" customHeight="1" x14ac:dyDescent="0.25">
      <c r="A66" s="42" t="s">
        <v>1</v>
      </c>
      <c r="B66" s="40" t="s">
        <v>100</v>
      </c>
      <c r="C66" s="125" t="s">
        <v>49</v>
      </c>
      <c r="D66" s="67">
        <v>34002</v>
      </c>
      <c r="E66" s="125" t="s">
        <v>83</v>
      </c>
      <c r="F66" s="13">
        <f>SUM(G66:T66)</f>
        <v>1114926.8</v>
      </c>
      <c r="G66" s="13">
        <v>0</v>
      </c>
      <c r="H66" s="13"/>
      <c r="I66" s="13"/>
      <c r="J66" s="13"/>
      <c r="K66" s="13"/>
      <c r="L66" s="13"/>
      <c r="M66" s="13"/>
      <c r="N66" s="13"/>
      <c r="O66" s="185">
        <f>1019898</f>
        <v>1019898</v>
      </c>
      <c r="P66" s="13"/>
      <c r="Q66" s="13"/>
      <c r="R66" s="13"/>
      <c r="S66" s="185">
        <f>68896.8</f>
        <v>68896.800000000003</v>
      </c>
      <c r="T66" s="317">
        <f>26132</f>
        <v>26132</v>
      </c>
      <c r="U66" s="112"/>
      <c r="V66" s="18"/>
    </row>
    <row r="67" spans="1:22" ht="24.75" customHeight="1" x14ac:dyDescent="0.25">
      <c r="A67" s="42" t="s">
        <v>134</v>
      </c>
      <c r="B67" s="40" t="s">
        <v>135</v>
      </c>
      <c r="C67" s="125" t="s">
        <v>49</v>
      </c>
      <c r="D67" s="67">
        <v>34002</v>
      </c>
      <c r="E67" s="125" t="s">
        <v>83</v>
      </c>
      <c r="F67" s="13">
        <f>SUM(G67:T67)</f>
        <v>0</v>
      </c>
      <c r="G67" s="155">
        <v>0</v>
      </c>
      <c r="H67" s="13"/>
      <c r="I67" s="13"/>
      <c r="J67" s="13"/>
      <c r="K67" s="13"/>
      <c r="L67" s="13"/>
      <c r="M67" s="13"/>
      <c r="N67" s="13"/>
      <c r="O67" s="13"/>
      <c r="P67" s="13"/>
      <c r="Q67" s="13"/>
      <c r="R67" s="13"/>
      <c r="S67" s="13"/>
      <c r="T67" s="18"/>
      <c r="U67" s="112"/>
      <c r="V67" s="18"/>
    </row>
    <row r="68" spans="1:22" ht="23.25" customHeight="1" x14ac:dyDescent="0.25">
      <c r="A68" s="42" t="s">
        <v>27</v>
      </c>
      <c r="B68" s="40" t="s">
        <v>100</v>
      </c>
      <c r="C68" s="125" t="s">
        <v>49</v>
      </c>
      <c r="D68" s="67">
        <v>34003</v>
      </c>
      <c r="E68" s="125" t="s">
        <v>84</v>
      </c>
      <c r="F68" s="13">
        <f>SUM(G68:T68)</f>
        <v>0</v>
      </c>
      <c r="G68" s="13">
        <v>0</v>
      </c>
      <c r="H68" s="13"/>
      <c r="I68" s="13"/>
      <c r="J68" s="13"/>
      <c r="K68" s="13"/>
      <c r="L68" s="13"/>
      <c r="M68" s="13"/>
      <c r="N68" s="13"/>
      <c r="O68" s="13"/>
      <c r="P68" s="13"/>
      <c r="Q68" s="13"/>
      <c r="R68" s="13"/>
      <c r="S68" s="13"/>
      <c r="T68" s="18"/>
      <c r="U68" s="112"/>
      <c r="V68" s="18"/>
    </row>
    <row r="69" spans="1:22" ht="24" customHeight="1" x14ac:dyDescent="0.25">
      <c r="A69" s="42" t="s">
        <v>28</v>
      </c>
      <c r="B69" s="40" t="s">
        <v>100</v>
      </c>
      <c r="C69" s="125" t="s">
        <v>49</v>
      </c>
      <c r="D69" s="67">
        <v>34004</v>
      </c>
      <c r="E69" s="125" t="s">
        <v>85</v>
      </c>
      <c r="F69" s="13">
        <f>SUM(G69:T69)</f>
        <v>20000</v>
      </c>
      <c r="G69" s="13">
        <f>20000</f>
        <v>20000</v>
      </c>
      <c r="H69" s="13"/>
      <c r="I69" s="13"/>
      <c r="J69" s="13"/>
      <c r="K69" s="13"/>
      <c r="L69" s="13"/>
      <c r="M69" s="13"/>
      <c r="N69" s="13"/>
      <c r="O69" s="13"/>
      <c r="P69" s="13"/>
      <c r="Q69" s="13"/>
      <c r="R69" s="13"/>
      <c r="S69" s="13"/>
      <c r="T69" s="18"/>
      <c r="U69" s="112"/>
      <c r="V69" s="18"/>
    </row>
    <row r="70" spans="1:22" ht="31.5" customHeight="1" x14ac:dyDescent="0.25">
      <c r="A70" s="895" t="s">
        <v>29</v>
      </c>
      <c r="B70" s="896"/>
      <c r="C70" s="897"/>
      <c r="D70" s="898">
        <v>34099</v>
      </c>
      <c r="E70" s="899"/>
      <c r="F70" s="32">
        <f>SUM(F71:F73)</f>
        <v>464835</v>
      </c>
      <c r="G70" s="32">
        <f>SUM(G71:G73)</f>
        <v>193000</v>
      </c>
      <c r="H70" s="32">
        <f t="shared" ref="H70" si="47">SUM(H71:H73)</f>
        <v>271835</v>
      </c>
      <c r="I70" s="32">
        <f t="shared" ref="I70:T70" si="48">SUM(I71:I73)</f>
        <v>0</v>
      </c>
      <c r="J70" s="32">
        <f t="shared" si="48"/>
        <v>0</v>
      </c>
      <c r="K70" s="32">
        <f t="shared" si="48"/>
        <v>0</v>
      </c>
      <c r="L70" s="32">
        <f t="shared" si="48"/>
        <v>0</v>
      </c>
      <c r="M70" s="32">
        <f t="shared" si="48"/>
        <v>0</v>
      </c>
      <c r="N70" s="32">
        <f t="shared" si="48"/>
        <v>0</v>
      </c>
      <c r="O70" s="32">
        <f t="shared" si="48"/>
        <v>0</v>
      </c>
      <c r="P70" s="32">
        <f t="shared" si="48"/>
        <v>0</v>
      </c>
      <c r="Q70" s="32">
        <f t="shared" si="48"/>
        <v>0</v>
      </c>
      <c r="R70" s="32">
        <f t="shared" si="48"/>
        <v>0</v>
      </c>
      <c r="S70" s="32">
        <f t="shared" si="48"/>
        <v>0</v>
      </c>
      <c r="T70" s="55">
        <f t="shared" si="48"/>
        <v>0</v>
      </c>
      <c r="U70" s="119">
        <f t="shared" ref="U70:V70" si="49">SUM(U71:U73)</f>
        <v>0</v>
      </c>
      <c r="V70" s="55">
        <f t="shared" si="49"/>
        <v>0</v>
      </c>
    </row>
    <row r="71" spans="1:22" ht="30" customHeight="1" x14ac:dyDescent="0.25">
      <c r="A71" s="42" t="s">
        <v>136</v>
      </c>
      <c r="B71" s="40" t="s">
        <v>100</v>
      </c>
      <c r="C71" s="125" t="s">
        <v>49</v>
      </c>
      <c r="D71" s="67">
        <v>34099</v>
      </c>
      <c r="E71" s="125" t="s">
        <v>137</v>
      </c>
      <c r="F71" s="13">
        <f t="shared" ref="F71" si="50">SUM(G71:T71)</f>
        <v>10000</v>
      </c>
      <c r="G71" s="13">
        <f>10000</f>
        <v>10000</v>
      </c>
      <c r="H71" s="13"/>
      <c r="I71" s="13"/>
      <c r="J71" s="13"/>
      <c r="K71" s="13"/>
      <c r="L71" s="13"/>
      <c r="M71" s="13"/>
      <c r="N71" s="13"/>
      <c r="O71" s="13"/>
      <c r="P71" s="13"/>
      <c r="Q71" s="13"/>
      <c r="R71" s="13"/>
      <c r="S71" s="13"/>
      <c r="T71" s="18"/>
      <c r="U71" s="112"/>
      <c r="V71" s="18"/>
    </row>
    <row r="72" spans="1:22" ht="30" customHeight="1" x14ac:dyDescent="0.25">
      <c r="A72" s="42" t="s">
        <v>138</v>
      </c>
      <c r="B72" s="40" t="s">
        <v>100</v>
      </c>
      <c r="C72" s="125" t="s">
        <v>49</v>
      </c>
      <c r="D72" s="67">
        <v>34099</v>
      </c>
      <c r="E72" s="125" t="s">
        <v>86</v>
      </c>
      <c r="F72" s="13">
        <f>SUM(G72:T72)</f>
        <v>451835</v>
      </c>
      <c r="G72" s="13">
        <f>180000</f>
        <v>180000</v>
      </c>
      <c r="H72" s="13">
        <v>271835</v>
      </c>
      <c r="I72" s="13"/>
      <c r="J72" s="13"/>
      <c r="K72" s="13"/>
      <c r="L72" s="13"/>
      <c r="M72" s="13"/>
      <c r="N72" s="13"/>
      <c r="O72" s="13"/>
      <c r="P72" s="13"/>
      <c r="Q72" s="13"/>
      <c r="R72" s="13"/>
      <c r="S72" s="13"/>
      <c r="T72" s="186"/>
      <c r="U72" s="112"/>
      <c r="V72" s="18"/>
    </row>
    <row r="73" spans="1:22" ht="32.25" customHeight="1" thickBot="1" x14ac:dyDescent="0.3">
      <c r="A73" s="60" t="s">
        <v>88</v>
      </c>
      <c r="B73" s="61" t="s">
        <v>100</v>
      </c>
      <c r="C73" s="126" t="s">
        <v>49</v>
      </c>
      <c r="D73" s="62">
        <v>34099</v>
      </c>
      <c r="E73" s="126" t="s">
        <v>87</v>
      </c>
      <c r="F73" s="15">
        <f>SUM(G73:T73)</f>
        <v>3000</v>
      </c>
      <c r="G73" s="15">
        <f>3000</f>
        <v>3000</v>
      </c>
      <c r="H73" s="15"/>
      <c r="I73" s="15"/>
      <c r="J73" s="15"/>
      <c r="K73" s="15"/>
      <c r="L73" s="15"/>
      <c r="M73" s="15"/>
      <c r="N73" s="15"/>
      <c r="O73" s="15"/>
      <c r="P73" s="15"/>
      <c r="Q73" s="15"/>
      <c r="R73" s="63"/>
      <c r="S73" s="63"/>
      <c r="T73" s="19"/>
      <c r="U73" s="120"/>
      <c r="V73" s="19"/>
    </row>
    <row r="74" spans="1:22" ht="31.5" customHeight="1" thickBot="1" x14ac:dyDescent="0.35">
      <c r="A74" s="892" t="s">
        <v>498</v>
      </c>
      <c r="B74" s="893"/>
      <c r="C74" s="893"/>
      <c r="D74" s="893"/>
      <c r="E74" s="894"/>
      <c r="F74" s="147">
        <f>F21+F23+F24+F29+F37+F41+F42+F45+F58</f>
        <v>10986081.800000001</v>
      </c>
      <c r="G74" s="4"/>
      <c r="H74" s="4"/>
      <c r="I74" s="4"/>
      <c r="J74" s="4"/>
      <c r="K74" s="4"/>
      <c r="L74" s="4"/>
      <c r="M74" s="4"/>
      <c r="N74" s="4"/>
      <c r="O74" s="4"/>
      <c r="P74" s="4"/>
      <c r="Q74" s="4"/>
      <c r="R74" s="4"/>
      <c r="S74" s="4"/>
      <c r="T74" s="4"/>
      <c r="U74" s="4"/>
      <c r="V74" s="4"/>
    </row>
    <row r="75" spans="1:22" ht="31.5" customHeight="1" thickBot="1" x14ac:dyDescent="0.35">
      <c r="A75" s="892">
        <v>4</v>
      </c>
      <c r="B75" s="893"/>
      <c r="C75" s="893"/>
      <c r="D75" s="893"/>
      <c r="E75" s="894"/>
      <c r="F75" s="147">
        <f>F74-F76</f>
        <v>10891053</v>
      </c>
      <c r="G75" s="4"/>
      <c r="H75" s="4"/>
      <c r="I75" s="4"/>
      <c r="J75" s="4"/>
      <c r="K75" s="4"/>
      <c r="L75" s="4"/>
      <c r="M75" s="4"/>
      <c r="N75" s="4"/>
      <c r="O75" s="4"/>
      <c r="P75" s="4"/>
      <c r="Q75" s="4"/>
      <c r="R75" s="4"/>
      <c r="S75" s="4"/>
      <c r="T75" s="4"/>
    </row>
    <row r="76" spans="1:22" ht="31.5" customHeight="1" thickBot="1" x14ac:dyDescent="0.35">
      <c r="A76" s="892">
        <v>5</v>
      </c>
      <c r="B76" s="893"/>
      <c r="C76" s="893"/>
      <c r="D76" s="893"/>
      <c r="E76" s="894"/>
      <c r="F76" s="147">
        <f>R13+S13+T13-R14</f>
        <v>95028.800000000003</v>
      </c>
      <c r="G76" s="4"/>
      <c r="H76" s="4"/>
      <c r="I76" s="4"/>
      <c r="J76" s="4"/>
      <c r="K76" s="4"/>
      <c r="L76" s="4"/>
      <c r="M76" s="4"/>
      <c r="N76" s="4"/>
      <c r="O76" s="4"/>
      <c r="P76" s="4"/>
      <c r="Q76" s="4"/>
      <c r="R76" s="4"/>
      <c r="S76" s="4"/>
      <c r="T76" s="4"/>
    </row>
    <row r="82" spans="16:16" x14ac:dyDescent="0.2">
      <c r="P82" t="s">
        <v>544</v>
      </c>
    </row>
  </sheetData>
  <mergeCells count="58">
    <mergeCell ref="A48:C48"/>
    <mergeCell ref="D48:E48"/>
    <mergeCell ref="A51:C51"/>
    <mergeCell ref="D51:E51"/>
    <mergeCell ref="A24:C24"/>
    <mergeCell ref="D14:E14"/>
    <mergeCell ref="A18:C18"/>
    <mergeCell ref="D18:E18"/>
    <mergeCell ref="A20:C20"/>
    <mergeCell ref="D20:E20"/>
    <mergeCell ref="U8:U11"/>
    <mergeCell ref="A74:E74"/>
    <mergeCell ref="A70:C70"/>
    <mergeCell ref="D70:E70"/>
    <mergeCell ref="A58:C58"/>
    <mergeCell ref="D58:E58"/>
    <mergeCell ref="A59:C59"/>
    <mergeCell ref="D59:E59"/>
    <mergeCell ref="A64:C64"/>
    <mergeCell ref="D64:E64"/>
    <mergeCell ref="C52:C53"/>
    <mergeCell ref="E52:E53"/>
    <mergeCell ref="I8:J10"/>
    <mergeCell ref="K8:K11"/>
    <mergeCell ref="M8:M11"/>
    <mergeCell ref="A14:C14"/>
    <mergeCell ref="A13:E13"/>
    <mergeCell ref="A1:B1"/>
    <mergeCell ref="D1:E1"/>
    <mergeCell ref="A2:S3"/>
    <mergeCell ref="A5:V6"/>
    <mergeCell ref="A8:A11"/>
    <mergeCell ref="B8:B11"/>
    <mergeCell ref="C8:C11"/>
    <mergeCell ref="D8:D11"/>
    <mergeCell ref="E8:E11"/>
    <mergeCell ref="F8:F11"/>
    <mergeCell ref="G8:G11"/>
    <mergeCell ref="H8:H11"/>
    <mergeCell ref="L8:L11"/>
    <mergeCell ref="S8:S11"/>
    <mergeCell ref="T8:T11"/>
    <mergeCell ref="N8:N11"/>
    <mergeCell ref="V8:V11"/>
    <mergeCell ref="A75:E75"/>
    <mergeCell ref="A76:E76"/>
    <mergeCell ref="R8:R11"/>
    <mergeCell ref="A46:C46"/>
    <mergeCell ref="D46:E46"/>
    <mergeCell ref="D24:E24"/>
    <mergeCell ref="A29:C29"/>
    <mergeCell ref="D29:E29"/>
    <mergeCell ref="A36:C36"/>
    <mergeCell ref="D36:E36"/>
    <mergeCell ref="O8:O11"/>
    <mergeCell ref="P8:P11"/>
    <mergeCell ref="Q8:Q11"/>
    <mergeCell ref="A12:F12"/>
  </mergeCells>
  <pageMargins left="0.70866141732283472" right="0" top="0.35433070866141736" bottom="0" header="0.31496062992125984" footer="0.31496062992125984"/>
  <pageSetup paperSize="9" scale="32"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75"/>
  <sheetViews>
    <sheetView zoomScale="55" zoomScaleNormal="55" workbookViewId="0">
      <selection activeCell="L76" sqref="L76"/>
    </sheetView>
  </sheetViews>
  <sheetFormatPr defaultRowHeight="12.75" x14ac:dyDescent="0.2"/>
  <cols>
    <col min="1" max="1" width="47.85546875" customWidth="1"/>
    <col min="2" max="3" width="9.7109375" customWidth="1"/>
    <col min="4" max="4" width="13.5703125" customWidth="1"/>
    <col min="5" max="5" width="9.5703125" customWidth="1"/>
    <col min="6" max="6" width="24.140625" customWidth="1"/>
    <col min="7" max="10" width="21.42578125" hidden="1" customWidth="1"/>
    <col min="11" max="12" width="33.140625" customWidth="1"/>
    <col min="13" max="13" width="25.28515625" customWidth="1"/>
    <col min="14" max="14" width="25.42578125" customWidth="1"/>
  </cols>
  <sheetData>
    <row r="1" spans="1:14" s="2" customFormat="1" ht="18" x14ac:dyDescent="0.2">
      <c r="A1" s="840"/>
      <c r="B1" s="840"/>
      <c r="C1" s="183"/>
      <c r="D1" s="841"/>
      <c r="E1" s="841"/>
      <c r="F1" s="8"/>
      <c r="G1" s="8"/>
      <c r="H1" s="8"/>
      <c r="I1" s="8"/>
      <c r="J1" s="8"/>
      <c r="K1" s="8"/>
      <c r="L1" s="8"/>
      <c r="M1" s="8"/>
      <c r="N1" s="8"/>
    </row>
    <row r="2" spans="1:14" s="2" customFormat="1" ht="21" customHeight="1" x14ac:dyDescent="0.2">
      <c r="A2" s="846" t="s">
        <v>680</v>
      </c>
      <c r="B2" s="846"/>
      <c r="C2" s="846"/>
      <c r="D2" s="846"/>
      <c r="E2" s="846"/>
      <c r="F2" s="846"/>
      <c r="G2" s="846"/>
      <c r="H2" s="846"/>
      <c r="I2" s="846"/>
      <c r="J2" s="846"/>
      <c r="K2" s="846"/>
      <c r="L2" s="846"/>
      <c r="M2" s="846"/>
      <c r="N2" s="846"/>
    </row>
    <row r="3" spans="1:14" s="2" customFormat="1" ht="42.75" customHeight="1" x14ac:dyDescent="0.2">
      <c r="A3" s="846"/>
      <c r="B3" s="846"/>
      <c r="C3" s="846"/>
      <c r="D3" s="846"/>
      <c r="E3" s="846"/>
      <c r="F3" s="846"/>
      <c r="G3" s="846"/>
      <c r="H3" s="846"/>
      <c r="I3" s="846"/>
      <c r="J3" s="846"/>
      <c r="K3" s="846"/>
      <c r="L3" s="846"/>
      <c r="M3" s="846"/>
      <c r="N3" s="846"/>
    </row>
    <row r="4" spans="1:14" s="2" customFormat="1" ht="9.75" customHeight="1" x14ac:dyDescent="0.4">
      <c r="A4" s="28"/>
      <c r="B4" s="28"/>
      <c r="C4" s="28"/>
      <c r="D4" s="28"/>
      <c r="E4" s="28"/>
      <c r="F4" s="28"/>
      <c r="G4" s="28"/>
      <c r="H4" s="28"/>
      <c r="I4" s="28"/>
      <c r="J4" s="28"/>
      <c r="K4" s="28"/>
      <c r="L4" s="28"/>
      <c r="M4" s="28"/>
      <c r="N4" s="28"/>
    </row>
    <row r="5" spans="1:14" s="2" customFormat="1" ht="15.75" customHeight="1" x14ac:dyDescent="0.2">
      <c r="A5" s="847" t="s">
        <v>569</v>
      </c>
      <c r="B5" s="847"/>
      <c r="C5" s="847"/>
      <c r="D5" s="847"/>
      <c r="E5" s="847"/>
      <c r="F5" s="847"/>
      <c r="G5" s="847"/>
      <c r="H5" s="847"/>
      <c r="I5" s="847"/>
      <c r="J5" s="847"/>
      <c r="K5" s="847"/>
      <c r="L5" s="847"/>
      <c r="M5" s="847"/>
      <c r="N5" s="847"/>
    </row>
    <row r="6" spans="1:14" s="2" customFormat="1" ht="40.5" customHeight="1" x14ac:dyDescent="0.2">
      <c r="A6" s="847"/>
      <c r="B6" s="847"/>
      <c r="C6" s="847"/>
      <c r="D6" s="847"/>
      <c r="E6" s="847"/>
      <c r="F6" s="847"/>
      <c r="G6" s="847"/>
      <c r="H6" s="847"/>
      <c r="I6" s="847"/>
      <c r="J6" s="847"/>
      <c r="K6" s="847"/>
      <c r="L6" s="847"/>
      <c r="M6" s="847"/>
      <c r="N6" s="847"/>
    </row>
    <row r="7" spans="1:14" ht="29.25" customHeight="1" thickBot="1" x14ac:dyDescent="0.45">
      <c r="A7" s="25" t="s">
        <v>32</v>
      </c>
      <c r="B7" s="6"/>
      <c r="C7" s="22"/>
      <c r="D7" s="23"/>
      <c r="E7" s="23"/>
      <c r="F7" s="24"/>
      <c r="G7" s="23"/>
      <c r="H7" s="23"/>
      <c r="I7" s="23"/>
      <c r="J7" s="23"/>
      <c r="K7" s="23"/>
      <c r="L7" s="23"/>
      <c r="M7" s="23"/>
      <c r="N7" s="23"/>
    </row>
    <row r="8" spans="1:14" ht="83.25" customHeight="1" x14ac:dyDescent="0.2">
      <c r="A8" s="842" t="s">
        <v>10</v>
      </c>
      <c r="B8" s="936" t="s">
        <v>95</v>
      </c>
      <c r="C8" s="844" t="s">
        <v>89</v>
      </c>
      <c r="D8" s="844" t="s">
        <v>11</v>
      </c>
      <c r="E8" s="844" t="s">
        <v>62</v>
      </c>
      <c r="F8" s="958" t="s">
        <v>34</v>
      </c>
      <c r="G8" s="938" t="s">
        <v>553</v>
      </c>
      <c r="H8" s="938" t="s">
        <v>555</v>
      </c>
      <c r="I8" s="938" t="s">
        <v>550</v>
      </c>
      <c r="J8" s="938" t="s">
        <v>551</v>
      </c>
      <c r="K8" s="940" t="s">
        <v>707</v>
      </c>
      <c r="L8" s="940" t="s">
        <v>700</v>
      </c>
      <c r="M8" s="940" t="s">
        <v>687</v>
      </c>
      <c r="N8" s="1035"/>
    </row>
    <row r="9" spans="1:14" ht="58.5" customHeight="1" x14ac:dyDescent="0.2">
      <c r="A9" s="843"/>
      <c r="B9" s="937"/>
      <c r="C9" s="845"/>
      <c r="D9" s="845"/>
      <c r="E9" s="845"/>
      <c r="F9" s="959"/>
      <c r="G9" s="939"/>
      <c r="H9" s="939"/>
      <c r="I9" s="939"/>
      <c r="J9" s="939"/>
      <c r="K9" s="941"/>
      <c r="L9" s="941"/>
      <c r="M9" s="333" t="s">
        <v>697</v>
      </c>
      <c r="N9" s="334" t="s">
        <v>688</v>
      </c>
    </row>
    <row r="10" spans="1:14" ht="47.25" hidden="1" customHeight="1" x14ac:dyDescent="0.2">
      <c r="A10" s="843"/>
      <c r="B10" s="937"/>
      <c r="C10" s="845"/>
      <c r="D10" s="845"/>
      <c r="E10" s="845"/>
      <c r="F10" s="959"/>
      <c r="G10" s="939"/>
      <c r="H10" s="939"/>
      <c r="I10" s="939"/>
      <c r="J10" s="939"/>
      <c r="K10" s="941"/>
      <c r="L10" s="941"/>
      <c r="M10" s="34" t="s">
        <v>698</v>
      </c>
      <c r="N10" s="35" t="s">
        <v>699</v>
      </c>
    </row>
    <row r="11" spans="1:14" ht="171.75" hidden="1" customHeight="1" x14ac:dyDescent="0.2">
      <c r="A11" s="843"/>
      <c r="B11" s="937"/>
      <c r="C11" s="845"/>
      <c r="D11" s="845"/>
      <c r="E11" s="845"/>
      <c r="F11" s="959"/>
      <c r="G11" s="939"/>
      <c r="H11" s="939"/>
      <c r="I11" s="939"/>
      <c r="J11" s="939"/>
      <c r="K11" s="941"/>
      <c r="L11" s="941"/>
      <c r="M11" s="333" t="s">
        <v>697</v>
      </c>
      <c r="N11" s="334" t="s">
        <v>688</v>
      </c>
    </row>
    <row r="12" spans="1:14" s="31" customFormat="1" ht="48.75" customHeight="1" x14ac:dyDescent="0.35">
      <c r="A12" s="956" t="s">
        <v>38</v>
      </c>
      <c r="B12" s="957"/>
      <c r="C12" s="957"/>
      <c r="D12" s="957"/>
      <c r="E12" s="957"/>
      <c r="F12" s="957"/>
      <c r="G12" s="34" t="s">
        <v>554</v>
      </c>
      <c r="H12" s="34" t="s">
        <v>556</v>
      </c>
      <c r="I12" s="34" t="s">
        <v>549</v>
      </c>
      <c r="J12" s="34" t="s">
        <v>549</v>
      </c>
      <c r="K12" s="34" t="s">
        <v>706</v>
      </c>
      <c r="L12" s="34" t="s">
        <v>701</v>
      </c>
      <c r="M12" s="34" t="s">
        <v>698</v>
      </c>
      <c r="N12" s="35" t="s">
        <v>699</v>
      </c>
    </row>
    <row r="13" spans="1:14" ht="43.5" customHeight="1" x14ac:dyDescent="0.3">
      <c r="A13" s="876" t="s">
        <v>15</v>
      </c>
      <c r="B13" s="877"/>
      <c r="C13" s="877"/>
      <c r="D13" s="877"/>
      <c r="E13" s="877"/>
      <c r="F13" s="64">
        <f>SUM(K13:N13)</f>
        <v>773810.85000000009</v>
      </c>
      <c r="G13" s="64">
        <f t="shared" ref="G13:J13" si="0">G14+G20+G45+G49+G57+G43</f>
        <v>0</v>
      </c>
      <c r="H13" s="64">
        <f t="shared" si="0"/>
        <v>0</v>
      </c>
      <c r="I13" s="64">
        <f t="shared" si="0"/>
        <v>0</v>
      </c>
      <c r="J13" s="64">
        <f t="shared" si="0"/>
        <v>0</v>
      </c>
      <c r="K13" s="64">
        <f t="shared" ref="K13" si="1">K14+K20+K43+K45+K49+K57</f>
        <v>61942</v>
      </c>
      <c r="L13" s="64">
        <f t="shared" ref="L13:N13" si="2">L14+L20+L43+L45+L49+L57</f>
        <v>532192.85000000009</v>
      </c>
      <c r="M13" s="64">
        <f t="shared" si="2"/>
        <v>171864</v>
      </c>
      <c r="N13" s="65">
        <f t="shared" si="2"/>
        <v>7812</v>
      </c>
    </row>
    <row r="14" spans="1:14" ht="42.75" customHeight="1" x14ac:dyDescent="0.3">
      <c r="A14" s="872" t="s">
        <v>94</v>
      </c>
      <c r="B14" s="873"/>
      <c r="C14" s="873"/>
      <c r="D14" s="947">
        <v>210</v>
      </c>
      <c r="E14" s="947"/>
      <c r="F14" s="47">
        <f>SUM(K14:N14)</f>
        <v>773810.85000000009</v>
      </c>
      <c r="G14" s="47">
        <f t="shared" ref="G14:N14" si="3">G15+G16+G17+G18</f>
        <v>0</v>
      </c>
      <c r="H14" s="47">
        <f t="shared" si="3"/>
        <v>0</v>
      </c>
      <c r="I14" s="47">
        <f t="shared" si="3"/>
        <v>0</v>
      </c>
      <c r="J14" s="47">
        <f t="shared" si="3"/>
        <v>0</v>
      </c>
      <c r="K14" s="47">
        <f t="shared" si="3"/>
        <v>61942</v>
      </c>
      <c r="L14" s="47">
        <f t="shared" si="3"/>
        <v>532192.85000000009</v>
      </c>
      <c r="M14" s="47">
        <f t="shared" si="3"/>
        <v>171864</v>
      </c>
      <c r="N14" s="56">
        <f t="shared" si="3"/>
        <v>7812</v>
      </c>
    </row>
    <row r="15" spans="1:14" ht="36" customHeight="1" x14ac:dyDescent="0.25">
      <c r="A15" s="20" t="s">
        <v>16</v>
      </c>
      <c r="B15" s="40" t="s">
        <v>96</v>
      </c>
      <c r="C15" s="332" t="s">
        <v>47</v>
      </c>
      <c r="D15" s="67">
        <v>21101</v>
      </c>
      <c r="E15" s="332" t="s">
        <v>90</v>
      </c>
      <c r="F15" s="13">
        <f>SUM(K15:N15)</f>
        <v>594324.28</v>
      </c>
      <c r="G15" s="13"/>
      <c r="H15" s="13"/>
      <c r="I15" s="13"/>
      <c r="J15" s="13"/>
      <c r="K15" s="13">
        <f>47574</f>
        <v>47574</v>
      </c>
      <c r="L15" s="13">
        <f>408750.28</f>
        <v>408750.28</v>
      </c>
      <c r="M15" s="13">
        <f>132000</f>
        <v>132000</v>
      </c>
      <c r="N15" s="18">
        <f>6000</f>
        <v>6000</v>
      </c>
    </row>
    <row r="16" spans="1:14" ht="35.25" customHeight="1" thickBot="1" x14ac:dyDescent="0.3">
      <c r="A16" s="199" t="s">
        <v>17</v>
      </c>
      <c r="B16" s="61" t="s">
        <v>97</v>
      </c>
      <c r="C16" s="126" t="s">
        <v>48</v>
      </c>
      <c r="D16" s="62">
        <v>21300</v>
      </c>
      <c r="E16" s="126" t="s">
        <v>18</v>
      </c>
      <c r="F16" s="15">
        <f>SUM(K16:N16)</f>
        <v>179486.57</v>
      </c>
      <c r="G16" s="15"/>
      <c r="H16" s="15"/>
      <c r="I16" s="15"/>
      <c r="J16" s="15"/>
      <c r="K16" s="15">
        <f>14368</f>
        <v>14368</v>
      </c>
      <c r="L16" s="15">
        <f>123442.57</f>
        <v>123442.57</v>
      </c>
      <c r="M16" s="15">
        <f>39864</f>
        <v>39864</v>
      </c>
      <c r="N16" s="19">
        <f>1812</f>
        <v>1812</v>
      </c>
    </row>
    <row r="17" spans="1:14" ht="36" hidden="1" customHeight="1" x14ac:dyDescent="0.25">
      <c r="A17" s="195" t="s">
        <v>98</v>
      </c>
      <c r="B17" s="196" t="s">
        <v>99</v>
      </c>
      <c r="C17" s="331" t="s">
        <v>48</v>
      </c>
      <c r="D17" s="197">
        <v>21300</v>
      </c>
      <c r="E17" s="331" t="s">
        <v>18</v>
      </c>
      <c r="F17" s="198">
        <f t="shared" ref="F17:F19" si="4">SUM(G17:K17)</f>
        <v>0</v>
      </c>
      <c r="G17" s="198"/>
      <c r="H17" s="198"/>
      <c r="I17" s="198"/>
      <c r="J17" s="198"/>
      <c r="K17" s="198"/>
      <c r="L17" s="329"/>
      <c r="M17" s="329"/>
      <c r="N17" s="329"/>
    </row>
    <row r="18" spans="1:14" ht="29.25" hidden="1" customHeight="1" x14ac:dyDescent="0.3">
      <c r="A18" s="862" t="s">
        <v>12</v>
      </c>
      <c r="B18" s="863"/>
      <c r="C18" s="863"/>
      <c r="D18" s="949">
        <v>212</v>
      </c>
      <c r="E18" s="949"/>
      <c r="F18" s="44">
        <f t="shared" si="4"/>
        <v>0</v>
      </c>
      <c r="G18" s="44">
        <f t="shared" ref="G18:N18" si="5">G19</f>
        <v>0</v>
      </c>
      <c r="H18" s="44">
        <f t="shared" si="5"/>
        <v>0</v>
      </c>
      <c r="I18" s="44">
        <f t="shared" si="5"/>
        <v>0</v>
      </c>
      <c r="J18" s="44">
        <f t="shared" si="5"/>
        <v>0</v>
      </c>
      <c r="K18" s="44">
        <f t="shared" si="5"/>
        <v>0</v>
      </c>
      <c r="L18" s="50">
        <f t="shared" si="5"/>
        <v>0</v>
      </c>
      <c r="M18" s="50">
        <f t="shared" si="5"/>
        <v>0</v>
      </c>
      <c r="N18" s="50">
        <f t="shared" si="5"/>
        <v>0</v>
      </c>
    </row>
    <row r="19" spans="1:14" ht="34.5" hidden="1" customHeight="1" x14ac:dyDescent="0.3">
      <c r="A19" s="57" t="s">
        <v>112</v>
      </c>
      <c r="B19" s="166" t="s">
        <v>100</v>
      </c>
      <c r="C19" s="38">
        <v>112</v>
      </c>
      <c r="D19" s="41">
        <v>21201</v>
      </c>
      <c r="E19" s="184" t="s">
        <v>59</v>
      </c>
      <c r="F19" s="13">
        <f t="shared" si="4"/>
        <v>0</v>
      </c>
      <c r="G19" s="14"/>
      <c r="H19" s="14"/>
      <c r="I19" s="14"/>
      <c r="J19" s="14"/>
      <c r="K19" s="13"/>
      <c r="L19" s="18"/>
      <c r="M19" s="18"/>
      <c r="N19" s="18"/>
    </row>
    <row r="20" spans="1:14" ht="27.75" hidden="1" customHeight="1" x14ac:dyDescent="0.3">
      <c r="A20" s="872" t="s">
        <v>92</v>
      </c>
      <c r="B20" s="873"/>
      <c r="C20" s="873"/>
      <c r="D20" s="955">
        <v>220</v>
      </c>
      <c r="E20" s="955"/>
      <c r="F20" s="45">
        <f>F21+F22+F23+F27+F34</f>
        <v>0</v>
      </c>
      <c r="G20" s="45">
        <f t="shared" ref="G20:N20" si="6">G21+G22+G23+G27+G34</f>
        <v>0</v>
      </c>
      <c r="H20" s="45">
        <f t="shared" si="6"/>
        <v>0</v>
      </c>
      <c r="I20" s="45">
        <f t="shared" si="6"/>
        <v>0</v>
      </c>
      <c r="J20" s="45">
        <f t="shared" si="6"/>
        <v>0</v>
      </c>
      <c r="K20" s="45">
        <f t="shared" si="6"/>
        <v>0</v>
      </c>
      <c r="L20" s="46">
        <f t="shared" si="6"/>
        <v>0</v>
      </c>
      <c r="M20" s="46">
        <f t="shared" si="6"/>
        <v>0</v>
      </c>
      <c r="N20" s="46">
        <f t="shared" si="6"/>
        <v>0</v>
      </c>
    </row>
    <row r="21" spans="1:14" ht="29.25" hidden="1" customHeight="1" x14ac:dyDescent="0.25">
      <c r="A21" s="51" t="s">
        <v>0</v>
      </c>
      <c r="B21" s="167" t="s">
        <v>100</v>
      </c>
      <c r="C21" s="53" t="s">
        <v>49</v>
      </c>
      <c r="D21" s="54">
        <v>22100</v>
      </c>
      <c r="E21" s="53" t="s">
        <v>113</v>
      </c>
      <c r="F21" s="48">
        <f>SUM(G21:K21)</f>
        <v>0</v>
      </c>
      <c r="G21" s="48"/>
      <c r="H21" s="48"/>
      <c r="I21" s="48"/>
      <c r="J21" s="48"/>
      <c r="K21" s="48"/>
      <c r="L21" s="49"/>
      <c r="M21" s="49"/>
      <c r="N21" s="49"/>
    </row>
    <row r="22" spans="1:14" ht="27" hidden="1" customHeight="1" x14ac:dyDescent="0.25">
      <c r="A22" s="51" t="s">
        <v>93</v>
      </c>
      <c r="B22" s="167" t="s">
        <v>100</v>
      </c>
      <c r="C22" s="53" t="s">
        <v>49</v>
      </c>
      <c r="D22" s="54">
        <v>22299</v>
      </c>
      <c r="E22" s="53" t="s">
        <v>60</v>
      </c>
      <c r="F22" s="48">
        <f>SUM(G22:K22)</f>
        <v>0</v>
      </c>
      <c r="G22" s="48"/>
      <c r="H22" s="48"/>
      <c r="I22" s="48"/>
      <c r="J22" s="48"/>
      <c r="K22" s="48"/>
      <c r="L22" s="49"/>
      <c r="M22" s="49"/>
      <c r="N22" s="49"/>
    </row>
    <row r="23" spans="1:14" ht="31.5" hidden="1" customHeight="1" x14ac:dyDescent="0.3">
      <c r="A23" s="862" t="s">
        <v>19</v>
      </c>
      <c r="B23" s="863"/>
      <c r="C23" s="863"/>
      <c r="D23" s="954">
        <v>223</v>
      </c>
      <c r="E23" s="954"/>
      <c r="F23" s="48">
        <f>SUM(F24:F26)</f>
        <v>0</v>
      </c>
      <c r="G23" s="48">
        <f t="shared" ref="G23:N23" si="7">SUM(G24:G26)</f>
        <v>0</v>
      </c>
      <c r="H23" s="48">
        <f t="shared" si="7"/>
        <v>0</v>
      </c>
      <c r="I23" s="48">
        <f t="shared" si="7"/>
        <v>0</v>
      </c>
      <c r="J23" s="48">
        <f t="shared" si="7"/>
        <v>0</v>
      </c>
      <c r="K23" s="48">
        <f t="shared" si="7"/>
        <v>0</v>
      </c>
      <c r="L23" s="49">
        <f t="shared" si="7"/>
        <v>0</v>
      </c>
      <c r="M23" s="49">
        <f t="shared" si="7"/>
        <v>0</v>
      </c>
      <c r="N23" s="49">
        <f t="shared" si="7"/>
        <v>0</v>
      </c>
    </row>
    <row r="24" spans="1:14" ht="24.75" hidden="1" customHeight="1" x14ac:dyDescent="0.25">
      <c r="A24" s="37" t="s">
        <v>20</v>
      </c>
      <c r="B24" s="40" t="s">
        <v>102</v>
      </c>
      <c r="C24" s="184" t="s">
        <v>543</v>
      </c>
      <c r="D24" s="67">
        <v>22301</v>
      </c>
      <c r="E24" s="184" t="s">
        <v>69</v>
      </c>
      <c r="F24" s="13">
        <f>SUM(G24:K24)</f>
        <v>0</v>
      </c>
      <c r="G24" s="13"/>
      <c r="H24" s="13"/>
      <c r="I24" s="13"/>
      <c r="J24" s="13"/>
      <c r="K24" s="13"/>
      <c r="L24" s="18"/>
      <c r="M24" s="18"/>
      <c r="N24" s="18"/>
    </row>
    <row r="25" spans="1:14" ht="33.75" hidden="1" customHeight="1" x14ac:dyDescent="0.25">
      <c r="A25" s="20" t="s">
        <v>5</v>
      </c>
      <c r="B25" s="40" t="s">
        <v>102</v>
      </c>
      <c r="C25" s="184" t="s">
        <v>49</v>
      </c>
      <c r="D25" s="67">
        <v>22302</v>
      </c>
      <c r="E25" s="184" t="s">
        <v>69</v>
      </c>
      <c r="F25" s="13">
        <f>SUM(G25:K25)</f>
        <v>0</v>
      </c>
      <c r="G25" s="13"/>
      <c r="H25" s="13"/>
      <c r="I25" s="13"/>
      <c r="J25" s="13"/>
      <c r="K25" s="13"/>
      <c r="L25" s="18"/>
      <c r="M25" s="18"/>
      <c r="N25" s="18"/>
    </row>
    <row r="26" spans="1:14" ht="31.5" hidden="1" customHeight="1" x14ac:dyDescent="0.25">
      <c r="A26" s="37" t="s">
        <v>21</v>
      </c>
      <c r="B26" s="40" t="s">
        <v>102</v>
      </c>
      <c r="C26" s="184" t="s">
        <v>543</v>
      </c>
      <c r="D26" s="67">
        <v>22303</v>
      </c>
      <c r="E26" s="184" t="s">
        <v>69</v>
      </c>
      <c r="F26" s="13">
        <f>SUM(G26:K26)</f>
        <v>0</v>
      </c>
      <c r="G26" s="13"/>
      <c r="H26" s="13"/>
      <c r="I26" s="13"/>
      <c r="J26" s="13"/>
      <c r="K26" s="13"/>
      <c r="L26" s="18"/>
      <c r="M26" s="18"/>
      <c r="N26" s="18"/>
    </row>
    <row r="27" spans="1:14" ht="36" hidden="1" customHeight="1" x14ac:dyDescent="0.3">
      <c r="A27" s="862" t="s">
        <v>103</v>
      </c>
      <c r="B27" s="863"/>
      <c r="C27" s="863"/>
      <c r="D27" s="949">
        <v>225</v>
      </c>
      <c r="E27" s="949"/>
      <c r="F27" s="48">
        <f>SUM(F28:F33)</f>
        <v>0</v>
      </c>
      <c r="G27" s="48">
        <f t="shared" ref="G27:N27" si="8">SUM(G28:G30)</f>
        <v>0</v>
      </c>
      <c r="H27" s="48">
        <f t="shared" si="8"/>
        <v>0</v>
      </c>
      <c r="I27" s="48">
        <f t="shared" si="8"/>
        <v>0</v>
      </c>
      <c r="J27" s="48">
        <f t="shared" si="8"/>
        <v>0</v>
      </c>
      <c r="K27" s="48">
        <f t="shared" si="8"/>
        <v>0</v>
      </c>
      <c r="L27" s="49">
        <f t="shared" si="8"/>
        <v>0</v>
      </c>
      <c r="M27" s="49">
        <f t="shared" si="8"/>
        <v>0</v>
      </c>
      <c r="N27" s="49">
        <f t="shared" si="8"/>
        <v>0</v>
      </c>
    </row>
    <row r="28" spans="1:14" ht="35.25" hidden="1" customHeight="1" x14ac:dyDescent="0.25">
      <c r="A28" s="42" t="s">
        <v>54</v>
      </c>
      <c r="B28" s="40" t="s">
        <v>100</v>
      </c>
      <c r="C28" s="184" t="s">
        <v>49</v>
      </c>
      <c r="D28" s="67">
        <v>22501</v>
      </c>
      <c r="E28" s="184" t="s">
        <v>104</v>
      </c>
      <c r="F28" s="13">
        <f t="shared" ref="F28:F42" si="9">SUM(G28:K28)</f>
        <v>0</v>
      </c>
      <c r="G28" s="13"/>
      <c r="H28" s="13"/>
      <c r="I28" s="13"/>
      <c r="J28" s="13"/>
      <c r="K28" s="13"/>
      <c r="L28" s="18"/>
      <c r="M28" s="18"/>
      <c r="N28" s="18"/>
    </row>
    <row r="29" spans="1:14" ht="23.25" hidden="1" customHeight="1" x14ac:dyDescent="0.25">
      <c r="A29" s="42" t="s">
        <v>58</v>
      </c>
      <c r="B29" s="40" t="s">
        <v>100</v>
      </c>
      <c r="C29" s="184" t="s">
        <v>49</v>
      </c>
      <c r="D29" s="67">
        <v>22502</v>
      </c>
      <c r="E29" s="184" t="s">
        <v>104</v>
      </c>
      <c r="F29" s="13">
        <f t="shared" si="9"/>
        <v>0</v>
      </c>
      <c r="G29" s="13"/>
      <c r="H29" s="13"/>
      <c r="I29" s="13"/>
      <c r="J29" s="13"/>
      <c r="K29" s="13"/>
      <c r="L29" s="18"/>
      <c r="M29" s="18"/>
      <c r="N29" s="18"/>
    </row>
    <row r="30" spans="1:14" ht="24.75" hidden="1" customHeight="1" x14ac:dyDescent="0.25">
      <c r="A30" s="43" t="s">
        <v>56</v>
      </c>
      <c r="B30" s="40" t="s">
        <v>100</v>
      </c>
      <c r="C30" s="184" t="s">
        <v>49</v>
      </c>
      <c r="D30" s="67">
        <v>22503</v>
      </c>
      <c r="E30" s="184" t="s">
        <v>104</v>
      </c>
      <c r="F30" s="13">
        <f t="shared" si="9"/>
        <v>0</v>
      </c>
      <c r="G30" s="13"/>
      <c r="H30" s="13"/>
      <c r="I30" s="13"/>
      <c r="J30" s="13"/>
      <c r="K30" s="13"/>
      <c r="L30" s="18"/>
      <c r="M30" s="18"/>
      <c r="N30" s="18"/>
    </row>
    <row r="31" spans="1:14" ht="32.25" hidden="1" customHeight="1" x14ac:dyDescent="0.25">
      <c r="A31" s="43" t="s">
        <v>57</v>
      </c>
      <c r="B31" s="40" t="s">
        <v>100</v>
      </c>
      <c r="C31" s="184" t="s">
        <v>49</v>
      </c>
      <c r="D31" s="67">
        <v>22504</v>
      </c>
      <c r="E31" s="184" t="s">
        <v>104</v>
      </c>
      <c r="F31" s="13">
        <f t="shared" si="9"/>
        <v>0</v>
      </c>
      <c r="G31" s="13"/>
      <c r="H31" s="13"/>
      <c r="I31" s="13"/>
      <c r="J31" s="13"/>
      <c r="K31" s="13"/>
      <c r="L31" s="18"/>
      <c r="M31" s="18"/>
      <c r="N31" s="18"/>
    </row>
    <row r="32" spans="1:14" ht="25.5" hidden="1" customHeight="1" x14ac:dyDescent="0.25">
      <c r="A32" s="42" t="s">
        <v>55</v>
      </c>
      <c r="B32" s="40" t="s">
        <v>100</v>
      </c>
      <c r="C32" s="184" t="s">
        <v>49</v>
      </c>
      <c r="D32" s="67">
        <v>22505</v>
      </c>
      <c r="E32" s="184" t="s">
        <v>104</v>
      </c>
      <c r="F32" s="13">
        <f t="shared" si="9"/>
        <v>0</v>
      </c>
      <c r="G32" s="13"/>
      <c r="H32" s="13"/>
      <c r="I32" s="13"/>
      <c r="J32" s="13"/>
      <c r="K32" s="13"/>
      <c r="L32" s="18"/>
      <c r="M32" s="18"/>
      <c r="N32" s="18"/>
    </row>
    <row r="33" spans="1:14" ht="34.5" hidden="1" customHeight="1" x14ac:dyDescent="0.25">
      <c r="A33" s="42" t="s">
        <v>22</v>
      </c>
      <c r="B33" s="40" t="s">
        <v>100</v>
      </c>
      <c r="C33" s="184" t="s">
        <v>49</v>
      </c>
      <c r="D33" s="67">
        <v>22599</v>
      </c>
      <c r="E33" s="184" t="s">
        <v>104</v>
      </c>
      <c r="F33" s="13">
        <f t="shared" si="9"/>
        <v>0</v>
      </c>
      <c r="G33" s="13"/>
      <c r="H33" s="13"/>
      <c r="I33" s="13"/>
      <c r="J33" s="13"/>
      <c r="K33" s="13"/>
      <c r="L33" s="18"/>
      <c r="M33" s="18"/>
      <c r="N33" s="18"/>
    </row>
    <row r="34" spans="1:14" ht="28.5" hidden="1" customHeight="1" x14ac:dyDescent="0.3">
      <c r="A34" s="862" t="s">
        <v>109</v>
      </c>
      <c r="B34" s="863"/>
      <c r="C34" s="863"/>
      <c r="D34" s="949">
        <v>226</v>
      </c>
      <c r="E34" s="949"/>
      <c r="F34" s="44">
        <f t="shared" si="9"/>
        <v>0</v>
      </c>
      <c r="G34" s="44">
        <f t="shared" ref="G34:N34" si="10">SUM(G35:G42)</f>
        <v>0</v>
      </c>
      <c r="H34" s="44">
        <f t="shared" si="10"/>
        <v>0</v>
      </c>
      <c r="I34" s="44">
        <f t="shared" si="10"/>
        <v>0</v>
      </c>
      <c r="J34" s="44">
        <f t="shared" si="10"/>
        <v>0</v>
      </c>
      <c r="K34" s="44">
        <f t="shared" si="10"/>
        <v>0</v>
      </c>
      <c r="L34" s="50">
        <f t="shared" si="10"/>
        <v>0</v>
      </c>
      <c r="M34" s="50">
        <f t="shared" si="10"/>
        <v>0</v>
      </c>
      <c r="N34" s="50">
        <f t="shared" si="10"/>
        <v>0</v>
      </c>
    </row>
    <row r="35" spans="1:14" ht="24" hidden="1" customHeight="1" x14ac:dyDescent="0.25">
      <c r="A35" s="43" t="s">
        <v>33</v>
      </c>
      <c r="B35" s="40" t="s">
        <v>100</v>
      </c>
      <c r="C35" s="184" t="s">
        <v>49</v>
      </c>
      <c r="D35" s="67">
        <v>22601</v>
      </c>
      <c r="E35" s="184" t="s">
        <v>110</v>
      </c>
      <c r="F35" s="13">
        <f t="shared" si="9"/>
        <v>0</v>
      </c>
      <c r="G35" s="13"/>
      <c r="H35" s="13"/>
      <c r="I35" s="13"/>
      <c r="J35" s="13"/>
      <c r="K35" s="13"/>
      <c r="L35" s="18"/>
      <c r="M35" s="18"/>
      <c r="N35" s="18"/>
    </row>
    <row r="36" spans="1:14" ht="31.5" hidden="1" customHeight="1" x14ac:dyDescent="0.25">
      <c r="A36" s="42" t="s">
        <v>111</v>
      </c>
      <c r="B36" s="40" t="s">
        <v>100</v>
      </c>
      <c r="C36" s="184" t="s">
        <v>50</v>
      </c>
      <c r="D36" s="67">
        <v>22602</v>
      </c>
      <c r="E36" s="184" t="s">
        <v>110</v>
      </c>
      <c r="F36" s="13">
        <f t="shared" si="9"/>
        <v>0</v>
      </c>
      <c r="G36" s="13"/>
      <c r="H36" s="13"/>
      <c r="I36" s="13"/>
      <c r="J36" s="13"/>
      <c r="K36" s="13"/>
      <c r="L36" s="18"/>
      <c r="M36" s="18"/>
      <c r="N36" s="18"/>
    </row>
    <row r="37" spans="1:14" ht="34.5" hidden="1" customHeight="1" x14ac:dyDescent="0.25">
      <c r="A37" s="42" t="s">
        <v>114</v>
      </c>
      <c r="B37" s="40" t="s">
        <v>100</v>
      </c>
      <c r="C37" s="184" t="s">
        <v>115</v>
      </c>
      <c r="D37" s="67">
        <v>22602</v>
      </c>
      <c r="E37" s="184" t="s">
        <v>110</v>
      </c>
      <c r="F37" s="13">
        <f t="shared" si="9"/>
        <v>0</v>
      </c>
      <c r="G37" s="13"/>
      <c r="H37" s="13"/>
      <c r="I37" s="13"/>
      <c r="J37" s="13"/>
      <c r="K37" s="13"/>
      <c r="L37" s="18"/>
      <c r="M37" s="18"/>
      <c r="N37" s="18"/>
    </row>
    <row r="38" spans="1:14" ht="22.5" hidden="1" customHeight="1" x14ac:dyDescent="0.25">
      <c r="A38" s="42" t="s">
        <v>23</v>
      </c>
      <c r="B38" s="40" t="s">
        <v>100</v>
      </c>
      <c r="C38" s="184" t="s">
        <v>49</v>
      </c>
      <c r="D38" s="67">
        <v>22603</v>
      </c>
      <c r="E38" s="184" t="s">
        <v>110</v>
      </c>
      <c r="F38" s="13">
        <f t="shared" si="9"/>
        <v>0</v>
      </c>
      <c r="G38" s="13"/>
      <c r="H38" s="13"/>
      <c r="I38" s="13"/>
      <c r="J38" s="13"/>
      <c r="K38" s="13"/>
      <c r="L38" s="18"/>
      <c r="M38" s="18"/>
      <c r="N38" s="18"/>
    </row>
    <row r="39" spans="1:14" ht="34.5" hidden="1" customHeight="1" x14ac:dyDescent="0.25">
      <c r="A39" s="42" t="s">
        <v>24</v>
      </c>
      <c r="B39" s="40" t="s">
        <v>100</v>
      </c>
      <c r="C39" s="184" t="s">
        <v>49</v>
      </c>
      <c r="D39" s="67">
        <v>22605</v>
      </c>
      <c r="E39" s="184" t="s">
        <v>110</v>
      </c>
      <c r="F39" s="13">
        <f t="shared" si="9"/>
        <v>0</v>
      </c>
      <c r="G39" s="13"/>
      <c r="H39" s="13"/>
      <c r="I39" s="13"/>
      <c r="J39" s="13"/>
      <c r="K39" s="13"/>
      <c r="L39" s="18"/>
      <c r="M39" s="18"/>
      <c r="N39" s="18"/>
    </row>
    <row r="40" spans="1:14" ht="51" hidden="1" customHeight="1" x14ac:dyDescent="0.25">
      <c r="A40" s="42" t="s">
        <v>116</v>
      </c>
      <c r="B40" s="40" t="s">
        <v>100</v>
      </c>
      <c r="C40" s="184" t="s">
        <v>50</v>
      </c>
      <c r="D40" s="67">
        <v>22606</v>
      </c>
      <c r="E40" s="184" t="s">
        <v>110</v>
      </c>
      <c r="F40" s="13">
        <f t="shared" si="9"/>
        <v>0</v>
      </c>
      <c r="G40" s="13"/>
      <c r="H40" s="13"/>
      <c r="I40" s="13"/>
      <c r="J40" s="13"/>
      <c r="K40" s="13"/>
      <c r="L40" s="18"/>
      <c r="M40" s="18"/>
      <c r="N40" s="18"/>
    </row>
    <row r="41" spans="1:14" ht="49.5" hidden="1" customHeight="1" x14ac:dyDescent="0.25">
      <c r="A41" s="42" t="s">
        <v>117</v>
      </c>
      <c r="B41" s="40" t="s">
        <v>100</v>
      </c>
      <c r="C41" s="184" t="s">
        <v>50</v>
      </c>
      <c r="D41" s="67">
        <v>22699</v>
      </c>
      <c r="E41" s="184" t="s">
        <v>110</v>
      </c>
      <c r="F41" s="13">
        <f t="shared" si="9"/>
        <v>0</v>
      </c>
      <c r="G41" s="13"/>
      <c r="H41" s="13"/>
      <c r="I41" s="13"/>
      <c r="J41" s="13"/>
      <c r="K41" s="13"/>
      <c r="L41" s="18"/>
      <c r="M41" s="18"/>
      <c r="N41" s="18"/>
    </row>
    <row r="42" spans="1:14" ht="32.25" hidden="1" customHeight="1" x14ac:dyDescent="0.25">
      <c r="A42" s="42" t="s">
        <v>25</v>
      </c>
      <c r="B42" s="40" t="s">
        <v>100</v>
      </c>
      <c r="C42" s="184" t="s">
        <v>49</v>
      </c>
      <c r="D42" s="67">
        <v>22699</v>
      </c>
      <c r="E42" s="184" t="s">
        <v>110</v>
      </c>
      <c r="F42" s="13">
        <f t="shared" si="9"/>
        <v>0</v>
      </c>
      <c r="G42" s="13"/>
      <c r="H42" s="13"/>
      <c r="I42" s="13"/>
      <c r="J42" s="13"/>
      <c r="K42" s="13"/>
      <c r="L42" s="18"/>
      <c r="M42" s="18"/>
      <c r="N42" s="18"/>
    </row>
    <row r="43" spans="1:14" ht="28.5" hidden="1" customHeight="1" x14ac:dyDescent="0.3">
      <c r="A43" s="872" t="s">
        <v>499</v>
      </c>
      <c r="B43" s="873"/>
      <c r="C43" s="873"/>
      <c r="D43" s="947">
        <v>26300</v>
      </c>
      <c r="E43" s="947"/>
      <c r="F43" s="45">
        <f t="shared" ref="F43" si="11">SUM(F44)</f>
        <v>0</v>
      </c>
      <c r="G43" s="45">
        <f t="shared" ref="G43:J43" si="12">G44</f>
        <v>0</v>
      </c>
      <c r="H43" s="45">
        <f t="shared" si="12"/>
        <v>0</v>
      </c>
      <c r="I43" s="45">
        <f t="shared" si="12"/>
        <v>0</v>
      </c>
      <c r="J43" s="45">
        <f t="shared" si="12"/>
        <v>0</v>
      </c>
      <c r="K43" s="45">
        <f t="shared" ref="K43:N43" si="13">SUM(K44)</f>
        <v>0</v>
      </c>
      <c r="L43" s="46">
        <f t="shared" si="13"/>
        <v>0</v>
      </c>
      <c r="M43" s="46">
        <f t="shared" si="13"/>
        <v>0</v>
      </c>
      <c r="N43" s="46">
        <f t="shared" si="13"/>
        <v>0</v>
      </c>
    </row>
    <row r="44" spans="1:14" ht="21.75" hidden="1" customHeight="1" x14ac:dyDescent="0.25">
      <c r="A44" s="42" t="s">
        <v>500</v>
      </c>
      <c r="B44" s="40" t="s">
        <v>100</v>
      </c>
      <c r="C44" s="184" t="s">
        <v>281</v>
      </c>
      <c r="D44" s="67">
        <v>26300</v>
      </c>
      <c r="E44" s="184" t="s">
        <v>501</v>
      </c>
      <c r="F44" s="13">
        <f>SUM(G44:K44)</f>
        <v>0</v>
      </c>
      <c r="G44" s="13"/>
      <c r="H44" s="13"/>
      <c r="I44" s="13"/>
      <c r="J44" s="13"/>
      <c r="K44" s="13"/>
      <c r="L44" s="18"/>
      <c r="M44" s="18"/>
      <c r="N44" s="18"/>
    </row>
    <row r="45" spans="1:14" ht="28.5" hidden="1" customHeight="1" x14ac:dyDescent="0.3">
      <c r="A45" s="872" t="s">
        <v>121</v>
      </c>
      <c r="B45" s="873"/>
      <c r="C45" s="873"/>
      <c r="D45" s="947">
        <v>266</v>
      </c>
      <c r="E45" s="947"/>
      <c r="F45" s="45">
        <f>SUM(G45:K45)</f>
        <v>0</v>
      </c>
      <c r="G45" s="45">
        <f t="shared" ref="G45:N45" si="14">SUM(G46:G48)</f>
        <v>0</v>
      </c>
      <c r="H45" s="45">
        <f t="shared" si="14"/>
        <v>0</v>
      </c>
      <c r="I45" s="45">
        <f t="shared" si="14"/>
        <v>0</v>
      </c>
      <c r="J45" s="45">
        <f t="shared" si="14"/>
        <v>0</v>
      </c>
      <c r="K45" s="45">
        <f t="shared" si="14"/>
        <v>0</v>
      </c>
      <c r="L45" s="46">
        <f t="shared" si="14"/>
        <v>0</v>
      </c>
      <c r="M45" s="46">
        <f t="shared" si="14"/>
        <v>0</v>
      </c>
      <c r="N45" s="46">
        <f t="shared" si="14"/>
        <v>0</v>
      </c>
    </row>
    <row r="46" spans="1:14" ht="39.75" hidden="1" customHeight="1" x14ac:dyDescent="0.25">
      <c r="A46" s="42" t="s">
        <v>118</v>
      </c>
      <c r="B46" s="40" t="s">
        <v>96</v>
      </c>
      <c r="C46" s="184" t="s">
        <v>47</v>
      </c>
      <c r="D46" s="67">
        <v>26600</v>
      </c>
      <c r="E46" s="184" t="s">
        <v>91</v>
      </c>
      <c r="F46" s="13">
        <f>SUM(G46:K46)</f>
        <v>0</v>
      </c>
      <c r="G46" s="13"/>
      <c r="H46" s="13"/>
      <c r="I46" s="13"/>
      <c r="J46" s="13"/>
      <c r="K46" s="13"/>
      <c r="L46" s="18"/>
      <c r="M46" s="18"/>
      <c r="N46" s="18"/>
    </row>
    <row r="47" spans="1:14" ht="36.75" hidden="1" customHeight="1" x14ac:dyDescent="0.25">
      <c r="A47" s="42" t="s">
        <v>119</v>
      </c>
      <c r="B47" s="40" t="s">
        <v>100</v>
      </c>
      <c r="C47" s="184" t="s">
        <v>50</v>
      </c>
      <c r="D47" s="67">
        <v>26601</v>
      </c>
      <c r="E47" s="184" t="s">
        <v>91</v>
      </c>
      <c r="F47" s="13">
        <f>SUM(G47:K47)</f>
        <v>0</v>
      </c>
      <c r="G47" s="13"/>
      <c r="H47" s="13"/>
      <c r="I47" s="13"/>
      <c r="J47" s="13"/>
      <c r="K47" s="13"/>
      <c r="L47" s="18"/>
      <c r="M47" s="18"/>
      <c r="N47" s="18"/>
    </row>
    <row r="48" spans="1:14" ht="52.5" hidden="1" customHeight="1" x14ac:dyDescent="0.25">
      <c r="A48" s="42" t="s">
        <v>120</v>
      </c>
      <c r="B48" s="40" t="s">
        <v>99</v>
      </c>
      <c r="C48" s="184" t="s">
        <v>50</v>
      </c>
      <c r="D48" s="67">
        <v>26602</v>
      </c>
      <c r="E48" s="184" t="s">
        <v>91</v>
      </c>
      <c r="F48" s="13">
        <f>SUM(G48:K48)</f>
        <v>0</v>
      </c>
      <c r="G48" s="13"/>
      <c r="H48" s="13"/>
      <c r="I48" s="13"/>
      <c r="J48" s="13"/>
      <c r="K48" s="13"/>
      <c r="L48" s="18"/>
      <c r="M48" s="18"/>
      <c r="N48" s="18"/>
    </row>
    <row r="49" spans="1:14" s="1" customFormat="1" ht="26.25" hidden="1" customHeight="1" x14ac:dyDescent="0.3">
      <c r="A49" s="872" t="s">
        <v>31</v>
      </c>
      <c r="B49" s="873"/>
      <c r="C49" s="873"/>
      <c r="D49" s="947">
        <v>290</v>
      </c>
      <c r="E49" s="947"/>
      <c r="F49" s="45">
        <f>SUM(F50:F56)</f>
        <v>0</v>
      </c>
      <c r="G49" s="45">
        <f t="shared" ref="G49:L49" si="15">SUM(G50:G56)</f>
        <v>0</v>
      </c>
      <c r="H49" s="45">
        <f t="shared" si="15"/>
        <v>0</v>
      </c>
      <c r="I49" s="45">
        <f t="shared" si="15"/>
        <v>0</v>
      </c>
      <c r="J49" s="45">
        <f t="shared" si="15"/>
        <v>0</v>
      </c>
      <c r="K49" s="45">
        <f t="shared" si="15"/>
        <v>0</v>
      </c>
      <c r="L49" s="46">
        <f t="shared" si="15"/>
        <v>0</v>
      </c>
      <c r="M49" s="46">
        <f t="shared" ref="M49:N49" si="16">SUM(M50:M56)</f>
        <v>0</v>
      </c>
      <c r="N49" s="46">
        <f t="shared" si="16"/>
        <v>0</v>
      </c>
    </row>
    <row r="50" spans="1:14" ht="30.75" hidden="1" customHeight="1" x14ac:dyDescent="0.25">
      <c r="A50" s="27" t="s">
        <v>513</v>
      </c>
      <c r="B50" s="40" t="s">
        <v>100</v>
      </c>
      <c r="C50" s="950" t="s">
        <v>51</v>
      </c>
      <c r="D50" s="67">
        <v>29101</v>
      </c>
      <c r="E50" s="950" t="s">
        <v>123</v>
      </c>
      <c r="F50" s="13">
        <f t="shared" ref="F50:F56" si="17">SUM(G50:K50)</f>
        <v>0</v>
      </c>
      <c r="G50" s="13"/>
      <c r="H50" s="13"/>
      <c r="I50" s="13"/>
      <c r="J50" s="13"/>
      <c r="K50" s="13"/>
      <c r="L50" s="18"/>
      <c r="M50" s="18"/>
      <c r="N50" s="18"/>
    </row>
    <row r="51" spans="1:14" ht="30.75" hidden="1" customHeight="1" x14ac:dyDescent="0.25">
      <c r="A51" s="27" t="s">
        <v>514</v>
      </c>
      <c r="B51" s="40" t="s">
        <v>100</v>
      </c>
      <c r="C51" s="950"/>
      <c r="D51" s="67">
        <v>29102</v>
      </c>
      <c r="E51" s="950"/>
      <c r="F51" s="13">
        <f t="shared" si="17"/>
        <v>0</v>
      </c>
      <c r="G51" s="13"/>
      <c r="H51" s="13"/>
      <c r="I51" s="13"/>
      <c r="J51" s="13"/>
      <c r="K51" s="13"/>
      <c r="L51" s="18"/>
      <c r="M51" s="18"/>
      <c r="N51" s="18"/>
    </row>
    <row r="52" spans="1:14" ht="30.75" hidden="1" customHeight="1" x14ac:dyDescent="0.25">
      <c r="A52" s="27" t="s">
        <v>542</v>
      </c>
      <c r="B52" s="40" t="s">
        <v>100</v>
      </c>
      <c r="C52" s="184" t="s">
        <v>52</v>
      </c>
      <c r="D52" s="67">
        <v>29104</v>
      </c>
      <c r="E52" s="184" t="s">
        <v>123</v>
      </c>
      <c r="F52" s="13">
        <f t="shared" si="17"/>
        <v>0</v>
      </c>
      <c r="G52" s="13"/>
      <c r="H52" s="13"/>
      <c r="I52" s="13"/>
      <c r="J52" s="13"/>
      <c r="K52" s="13"/>
      <c r="L52" s="18"/>
      <c r="M52" s="18"/>
      <c r="N52" s="18"/>
    </row>
    <row r="53" spans="1:14" ht="31.5" hidden="1" customHeight="1" x14ac:dyDescent="0.25">
      <c r="A53" s="58" t="s">
        <v>125</v>
      </c>
      <c r="B53" s="40" t="s">
        <v>100</v>
      </c>
      <c r="C53" s="184" t="s">
        <v>53</v>
      </c>
      <c r="D53" s="67">
        <v>29001</v>
      </c>
      <c r="E53" s="184" t="s">
        <v>127</v>
      </c>
      <c r="F53" s="13">
        <f t="shared" si="17"/>
        <v>0</v>
      </c>
      <c r="G53" s="13"/>
      <c r="H53" s="13"/>
      <c r="I53" s="13"/>
      <c r="J53" s="13"/>
      <c r="K53" s="13"/>
      <c r="L53" s="18"/>
      <c r="M53" s="18"/>
      <c r="N53" s="18"/>
    </row>
    <row r="54" spans="1:14" ht="38.25" hidden="1" customHeight="1" x14ac:dyDescent="0.25">
      <c r="A54" s="58" t="s">
        <v>126</v>
      </c>
      <c r="B54" s="40" t="s">
        <v>100</v>
      </c>
      <c r="C54" s="184" t="s">
        <v>53</v>
      </c>
      <c r="D54" s="67">
        <v>29001</v>
      </c>
      <c r="E54" s="184" t="s">
        <v>128</v>
      </c>
      <c r="F54" s="13">
        <f t="shared" si="17"/>
        <v>0</v>
      </c>
      <c r="G54" s="13"/>
      <c r="H54" s="13"/>
      <c r="I54" s="13"/>
      <c r="J54" s="13"/>
      <c r="K54" s="13"/>
      <c r="L54" s="18"/>
      <c r="M54" s="18"/>
      <c r="N54" s="18"/>
    </row>
    <row r="55" spans="1:14" ht="34.5" hidden="1" customHeight="1" x14ac:dyDescent="0.25">
      <c r="A55" s="59" t="s">
        <v>130</v>
      </c>
      <c r="B55" s="40" t="s">
        <v>100</v>
      </c>
      <c r="C55" s="184" t="s">
        <v>53</v>
      </c>
      <c r="D55" s="67">
        <v>29001</v>
      </c>
      <c r="E55" s="184" t="s">
        <v>129</v>
      </c>
      <c r="F55" s="13">
        <f t="shared" si="17"/>
        <v>0</v>
      </c>
      <c r="G55" s="13"/>
      <c r="H55" s="13"/>
      <c r="I55" s="13"/>
      <c r="J55" s="13"/>
      <c r="K55" s="13"/>
      <c r="L55" s="18"/>
      <c r="M55" s="18"/>
      <c r="N55" s="18"/>
    </row>
    <row r="56" spans="1:14" ht="34.5" hidden="1" customHeight="1" x14ac:dyDescent="0.25">
      <c r="A56" s="59" t="s">
        <v>130</v>
      </c>
      <c r="B56" s="40" t="s">
        <v>100</v>
      </c>
      <c r="C56" s="184" t="s">
        <v>53</v>
      </c>
      <c r="D56" s="67">
        <v>29099</v>
      </c>
      <c r="E56" s="184" t="s">
        <v>624</v>
      </c>
      <c r="F56" s="13">
        <f t="shared" si="17"/>
        <v>0</v>
      </c>
      <c r="G56" s="13"/>
      <c r="H56" s="13"/>
      <c r="I56" s="13"/>
      <c r="J56" s="13"/>
      <c r="K56" s="13"/>
      <c r="L56" s="18"/>
      <c r="M56" s="18"/>
      <c r="N56" s="18"/>
    </row>
    <row r="57" spans="1:14" ht="36" hidden="1" customHeight="1" x14ac:dyDescent="0.3">
      <c r="A57" s="872" t="s">
        <v>131</v>
      </c>
      <c r="B57" s="873"/>
      <c r="C57" s="873"/>
      <c r="D57" s="948">
        <v>300</v>
      </c>
      <c r="E57" s="948"/>
      <c r="F57" s="45">
        <f>F58+F63</f>
        <v>0</v>
      </c>
      <c r="G57" s="45">
        <f t="shared" ref="G57:N57" si="18">G58+G63</f>
        <v>0</v>
      </c>
      <c r="H57" s="45">
        <f t="shared" si="18"/>
        <v>0</v>
      </c>
      <c r="I57" s="45">
        <f t="shared" si="18"/>
        <v>0</v>
      </c>
      <c r="J57" s="45">
        <f t="shared" si="18"/>
        <v>0</v>
      </c>
      <c r="K57" s="45">
        <f t="shared" si="18"/>
        <v>0</v>
      </c>
      <c r="L57" s="46">
        <f t="shared" si="18"/>
        <v>0</v>
      </c>
      <c r="M57" s="46">
        <f t="shared" si="18"/>
        <v>0</v>
      </c>
      <c r="N57" s="46">
        <f t="shared" si="18"/>
        <v>0</v>
      </c>
    </row>
    <row r="58" spans="1:14" ht="30.75" hidden="1" customHeight="1" x14ac:dyDescent="0.3">
      <c r="A58" s="862" t="s">
        <v>13</v>
      </c>
      <c r="B58" s="863"/>
      <c r="C58" s="863"/>
      <c r="D58" s="949">
        <v>310</v>
      </c>
      <c r="E58" s="949"/>
      <c r="F58" s="44">
        <f>SUM(G58:K58)</f>
        <v>0</v>
      </c>
      <c r="G58" s="44">
        <f>SUM(G59:G62)</f>
        <v>0</v>
      </c>
      <c r="H58" s="44">
        <f>SUM(H59:H62)</f>
        <v>0</v>
      </c>
      <c r="I58" s="44">
        <f>SUM(I59:I62)</f>
        <v>0</v>
      </c>
      <c r="J58" s="44">
        <f>SUM(J59:J62)</f>
        <v>0</v>
      </c>
      <c r="K58" s="44">
        <f t="shared" ref="K58:L58" si="19">SUM(K59:K62)</f>
        <v>0</v>
      </c>
      <c r="L58" s="50">
        <f t="shared" si="19"/>
        <v>0</v>
      </c>
      <c r="M58" s="50">
        <f t="shared" ref="M58:N58" si="20">SUM(M59:M62)</f>
        <v>0</v>
      </c>
      <c r="N58" s="50">
        <f t="shared" si="20"/>
        <v>0</v>
      </c>
    </row>
    <row r="59" spans="1:14" ht="27.75" hidden="1" customHeight="1" x14ac:dyDescent="0.25">
      <c r="A59" s="16" t="s">
        <v>132</v>
      </c>
      <c r="B59" s="40" t="s">
        <v>133</v>
      </c>
      <c r="C59" s="184" t="s">
        <v>49</v>
      </c>
      <c r="D59" s="67">
        <v>31003</v>
      </c>
      <c r="E59" s="184" t="s">
        <v>61</v>
      </c>
      <c r="F59" s="13">
        <f>SUM(G59:K59)</f>
        <v>0</v>
      </c>
      <c r="G59" s="13"/>
      <c r="H59" s="13"/>
      <c r="I59" s="13"/>
      <c r="J59" s="13"/>
      <c r="K59" s="13"/>
      <c r="L59" s="18"/>
      <c r="M59" s="18"/>
      <c r="N59" s="18"/>
    </row>
    <row r="60" spans="1:14" ht="25.5" hidden="1" customHeight="1" x14ac:dyDescent="0.25">
      <c r="A60" s="16" t="s">
        <v>6</v>
      </c>
      <c r="B60" s="40" t="s">
        <v>133</v>
      </c>
      <c r="C60" s="184" t="s">
        <v>49</v>
      </c>
      <c r="D60" s="67">
        <v>31004</v>
      </c>
      <c r="E60" s="184" t="s">
        <v>61</v>
      </c>
      <c r="F60" s="13">
        <f>SUM(G60:K60)</f>
        <v>0</v>
      </c>
      <c r="G60" s="13"/>
      <c r="H60" s="13"/>
      <c r="I60" s="13"/>
      <c r="J60" s="13"/>
      <c r="K60" s="13"/>
      <c r="L60" s="18"/>
      <c r="M60" s="18"/>
      <c r="N60" s="18"/>
    </row>
    <row r="61" spans="1:14" ht="28.5" hidden="1" customHeight="1" x14ac:dyDescent="0.25">
      <c r="A61" s="16" t="s">
        <v>7</v>
      </c>
      <c r="B61" s="40" t="s">
        <v>133</v>
      </c>
      <c r="C61" s="184" t="s">
        <v>49</v>
      </c>
      <c r="D61" s="67">
        <v>31005</v>
      </c>
      <c r="E61" s="184" t="s">
        <v>61</v>
      </c>
      <c r="F61" s="13">
        <f>SUM(G61:K61)</f>
        <v>0</v>
      </c>
      <c r="G61" s="13"/>
      <c r="H61" s="13"/>
      <c r="I61" s="13"/>
      <c r="J61" s="13"/>
      <c r="K61" s="13"/>
      <c r="L61" s="18"/>
      <c r="M61" s="18"/>
      <c r="N61" s="18"/>
    </row>
    <row r="62" spans="1:14" ht="36.75" hidden="1" customHeight="1" x14ac:dyDescent="0.25">
      <c r="A62" s="16" t="s">
        <v>8</v>
      </c>
      <c r="B62" s="40" t="s">
        <v>133</v>
      </c>
      <c r="C62" s="184" t="s">
        <v>49</v>
      </c>
      <c r="D62" s="67">
        <v>31099</v>
      </c>
      <c r="E62" s="184" t="s">
        <v>61</v>
      </c>
      <c r="F62" s="13">
        <f>SUM(G62:K62)</f>
        <v>0</v>
      </c>
      <c r="G62" s="13"/>
      <c r="H62" s="13"/>
      <c r="I62" s="13"/>
      <c r="J62" s="13"/>
      <c r="K62" s="13"/>
      <c r="L62" s="18"/>
      <c r="M62" s="18"/>
      <c r="N62" s="18"/>
    </row>
    <row r="63" spans="1:14" ht="39.75" hidden="1" customHeight="1" x14ac:dyDescent="0.3">
      <c r="A63" s="862" t="s">
        <v>14</v>
      </c>
      <c r="B63" s="863"/>
      <c r="C63" s="863"/>
      <c r="D63" s="949">
        <v>340</v>
      </c>
      <c r="E63" s="949"/>
      <c r="F63" s="44">
        <f>F64+F65+F66+F67+F68+F69</f>
        <v>0</v>
      </c>
      <c r="G63" s="44">
        <f t="shared" ref="G63:N63" si="21">G64+G65+G66+G67+G68+G69</f>
        <v>0</v>
      </c>
      <c r="H63" s="44">
        <f t="shared" si="21"/>
        <v>0</v>
      </c>
      <c r="I63" s="44">
        <f t="shared" si="21"/>
        <v>0</v>
      </c>
      <c r="J63" s="44">
        <f t="shared" si="21"/>
        <v>0</v>
      </c>
      <c r="K63" s="44">
        <f t="shared" si="21"/>
        <v>0</v>
      </c>
      <c r="L63" s="50">
        <f t="shared" si="21"/>
        <v>0</v>
      </c>
      <c r="M63" s="50">
        <f t="shared" si="21"/>
        <v>0</v>
      </c>
      <c r="N63" s="50">
        <f t="shared" si="21"/>
        <v>0</v>
      </c>
    </row>
    <row r="64" spans="1:14" ht="31.5" hidden="1" customHeight="1" x14ac:dyDescent="0.25">
      <c r="A64" s="42" t="s">
        <v>3</v>
      </c>
      <c r="B64" s="40" t="s">
        <v>100</v>
      </c>
      <c r="C64" s="184" t="s">
        <v>49</v>
      </c>
      <c r="D64" s="67">
        <v>34001</v>
      </c>
      <c r="E64" s="184" t="s">
        <v>82</v>
      </c>
      <c r="F64" s="13">
        <f>SUM(G64:K64)</f>
        <v>0</v>
      </c>
      <c r="G64" s="13"/>
      <c r="H64" s="13"/>
      <c r="I64" s="13"/>
      <c r="J64" s="13"/>
      <c r="K64" s="13"/>
      <c r="L64" s="18"/>
      <c r="M64" s="18"/>
      <c r="N64" s="18"/>
    </row>
    <row r="65" spans="1:14" ht="24.75" hidden="1" customHeight="1" x14ac:dyDescent="0.25">
      <c r="A65" s="42" t="s">
        <v>1</v>
      </c>
      <c r="B65" s="40" t="s">
        <v>100</v>
      </c>
      <c r="C65" s="184" t="s">
        <v>49</v>
      </c>
      <c r="D65" s="67">
        <v>34002</v>
      </c>
      <c r="E65" s="184" t="s">
        <v>83</v>
      </c>
      <c r="F65" s="13">
        <f>SUM(G65:K65)</f>
        <v>0</v>
      </c>
      <c r="G65" s="13"/>
      <c r="H65" s="13"/>
      <c r="I65" s="13"/>
      <c r="J65" s="13"/>
      <c r="K65" s="13"/>
      <c r="L65" s="18"/>
      <c r="M65" s="18"/>
      <c r="N65" s="18"/>
    </row>
    <row r="66" spans="1:14" ht="24.75" hidden="1" customHeight="1" x14ac:dyDescent="0.25">
      <c r="A66" s="42" t="s">
        <v>134</v>
      </c>
      <c r="B66" s="40" t="s">
        <v>135</v>
      </c>
      <c r="C66" s="184" t="s">
        <v>49</v>
      </c>
      <c r="D66" s="67">
        <v>34002</v>
      </c>
      <c r="E66" s="184" t="s">
        <v>83</v>
      </c>
      <c r="F66" s="13">
        <f>SUM(G66:K66)</f>
        <v>0</v>
      </c>
      <c r="G66" s="13"/>
      <c r="H66" s="13"/>
      <c r="I66" s="13"/>
      <c r="J66" s="13"/>
      <c r="K66" s="13"/>
      <c r="L66" s="18"/>
      <c r="M66" s="18"/>
      <c r="N66" s="18"/>
    </row>
    <row r="67" spans="1:14" ht="23.25" hidden="1" customHeight="1" x14ac:dyDescent="0.25">
      <c r="A67" s="42" t="s">
        <v>27</v>
      </c>
      <c r="B67" s="40" t="s">
        <v>100</v>
      </c>
      <c r="C67" s="184" t="s">
        <v>49</v>
      </c>
      <c r="D67" s="67">
        <v>34003</v>
      </c>
      <c r="E67" s="184" t="s">
        <v>84</v>
      </c>
      <c r="F67" s="13">
        <f>SUM(G67:K67)</f>
        <v>0</v>
      </c>
      <c r="G67" s="13"/>
      <c r="H67" s="13"/>
      <c r="I67" s="13"/>
      <c r="J67" s="13"/>
      <c r="K67" s="13"/>
      <c r="L67" s="18"/>
      <c r="M67" s="18"/>
      <c r="N67" s="18"/>
    </row>
    <row r="68" spans="1:14" ht="24" hidden="1" customHeight="1" x14ac:dyDescent="0.25">
      <c r="A68" s="42" t="s">
        <v>28</v>
      </c>
      <c r="B68" s="40" t="s">
        <v>100</v>
      </c>
      <c r="C68" s="184" t="s">
        <v>49</v>
      </c>
      <c r="D68" s="67">
        <v>34004</v>
      </c>
      <c r="E68" s="184" t="s">
        <v>85</v>
      </c>
      <c r="F68" s="13">
        <f>SUM(G68:K68)</f>
        <v>0</v>
      </c>
      <c r="G68" s="13"/>
      <c r="H68" s="13"/>
      <c r="I68" s="13"/>
      <c r="J68" s="13"/>
      <c r="K68" s="13"/>
      <c r="L68" s="18"/>
      <c r="M68" s="18"/>
      <c r="N68" s="18"/>
    </row>
    <row r="69" spans="1:14" ht="31.5" hidden="1" customHeight="1" x14ac:dyDescent="0.25">
      <c r="A69" s="951" t="s">
        <v>29</v>
      </c>
      <c r="B69" s="952"/>
      <c r="C69" s="952"/>
      <c r="D69" s="953">
        <v>34099</v>
      </c>
      <c r="E69" s="953"/>
      <c r="F69" s="32">
        <f>SUM(F70:F72)</f>
        <v>0</v>
      </c>
      <c r="G69" s="32">
        <f t="shared" ref="G69:N69" si="22">SUM(G70:G72)</f>
        <v>0</v>
      </c>
      <c r="H69" s="32">
        <f t="shared" si="22"/>
        <v>0</v>
      </c>
      <c r="I69" s="32">
        <f t="shared" si="22"/>
        <v>0</v>
      </c>
      <c r="J69" s="32">
        <f t="shared" si="22"/>
        <v>0</v>
      </c>
      <c r="K69" s="32">
        <f t="shared" si="22"/>
        <v>0</v>
      </c>
      <c r="L69" s="55">
        <f t="shared" si="22"/>
        <v>0</v>
      </c>
      <c r="M69" s="55">
        <f t="shared" si="22"/>
        <v>0</v>
      </c>
      <c r="N69" s="55">
        <f t="shared" si="22"/>
        <v>0</v>
      </c>
    </row>
    <row r="70" spans="1:14" ht="30" hidden="1" customHeight="1" x14ac:dyDescent="0.25">
      <c r="A70" s="42" t="s">
        <v>136</v>
      </c>
      <c r="B70" s="40" t="s">
        <v>100</v>
      </c>
      <c r="C70" s="184" t="s">
        <v>49</v>
      </c>
      <c r="D70" s="67">
        <v>34099</v>
      </c>
      <c r="E70" s="184" t="s">
        <v>137</v>
      </c>
      <c r="F70" s="13">
        <f>SUM(G70:K70)</f>
        <v>0</v>
      </c>
      <c r="G70" s="13"/>
      <c r="H70" s="13"/>
      <c r="I70" s="13"/>
      <c r="J70" s="13"/>
      <c r="K70" s="13"/>
      <c r="L70" s="18"/>
      <c r="M70" s="18"/>
      <c r="N70" s="18"/>
    </row>
    <row r="71" spans="1:14" ht="30" hidden="1" customHeight="1" x14ac:dyDescent="0.25">
      <c r="A71" s="42" t="s">
        <v>138</v>
      </c>
      <c r="B71" s="40" t="s">
        <v>100</v>
      </c>
      <c r="C71" s="184" t="s">
        <v>49</v>
      </c>
      <c r="D71" s="67">
        <v>34099</v>
      </c>
      <c r="E71" s="184" t="s">
        <v>86</v>
      </c>
      <c r="F71" s="13">
        <f>SUM(G71:K71)</f>
        <v>0</v>
      </c>
      <c r="G71" s="13"/>
      <c r="H71" s="13"/>
      <c r="I71" s="13"/>
      <c r="J71" s="13"/>
      <c r="K71" s="13"/>
      <c r="L71" s="18"/>
      <c r="M71" s="18"/>
      <c r="N71" s="18"/>
    </row>
    <row r="72" spans="1:14" ht="32.25" hidden="1" customHeight="1" thickBot="1" x14ac:dyDescent="0.3">
      <c r="A72" s="60" t="s">
        <v>88</v>
      </c>
      <c r="B72" s="61" t="s">
        <v>100</v>
      </c>
      <c r="C72" s="126" t="s">
        <v>49</v>
      </c>
      <c r="D72" s="62">
        <v>34099</v>
      </c>
      <c r="E72" s="126" t="s">
        <v>87</v>
      </c>
      <c r="F72" s="15">
        <f>SUM(G72:K72)</f>
        <v>0</v>
      </c>
      <c r="G72" s="15"/>
      <c r="H72" s="15"/>
      <c r="I72" s="15"/>
      <c r="J72" s="15"/>
      <c r="K72" s="15"/>
      <c r="L72" s="19"/>
      <c r="M72" s="19"/>
      <c r="N72" s="19"/>
    </row>
    <row r="73" spans="1:14" ht="31.5" customHeight="1" thickBot="1" x14ac:dyDescent="0.35">
      <c r="A73" s="944" t="s">
        <v>498</v>
      </c>
      <c r="B73" s="945"/>
      <c r="C73" s="945"/>
      <c r="D73" s="945"/>
      <c r="E73" s="946"/>
      <c r="F73" s="172">
        <f>F21+F22+F23+F27+F35+F38+F39+F42+F57</f>
        <v>0</v>
      </c>
      <c r="G73" s="4"/>
      <c r="H73" s="4"/>
      <c r="I73" s="4"/>
      <c r="J73" s="4"/>
      <c r="K73" s="4"/>
      <c r="L73" s="4"/>
      <c r="M73" s="4"/>
      <c r="N73" s="4"/>
    </row>
    <row r="74" spans="1:14" ht="8.25" customHeight="1" x14ac:dyDescent="0.2">
      <c r="A74" s="5"/>
      <c r="B74" s="7"/>
      <c r="C74" s="7"/>
      <c r="D74" s="3"/>
      <c r="E74" s="3"/>
      <c r="F74" s="4"/>
      <c r="G74" s="4"/>
      <c r="H74" s="4"/>
      <c r="I74" s="4"/>
      <c r="J74" s="4"/>
      <c r="K74" s="4"/>
      <c r="L74" s="4"/>
      <c r="M74" s="4"/>
      <c r="N74" s="4"/>
    </row>
    <row r="75" spans="1:14" s="12" customFormat="1" ht="15.75" customHeight="1" x14ac:dyDescent="0.25">
      <c r="A75" s="21"/>
      <c r="B75" s="11"/>
      <c r="C75" s="10"/>
      <c r="D75" s="11"/>
      <c r="E75" s="11"/>
    </row>
  </sheetData>
  <mergeCells count="48">
    <mergeCell ref="L8:L11"/>
    <mergeCell ref="A1:B1"/>
    <mergeCell ref="D1:E1"/>
    <mergeCell ref="A8:A11"/>
    <mergeCell ref="B8:B11"/>
    <mergeCell ref="C8:C11"/>
    <mergeCell ref="D8:D11"/>
    <mergeCell ref="E8:E11"/>
    <mergeCell ref="F8:F11"/>
    <mergeCell ref="G8:G11"/>
    <mergeCell ref="H8:H11"/>
    <mergeCell ref="I8:I11"/>
    <mergeCell ref="J8:J11"/>
    <mergeCell ref="K8:K11"/>
    <mergeCell ref="D34:E34"/>
    <mergeCell ref="A12:F12"/>
    <mergeCell ref="A13:E13"/>
    <mergeCell ref="A14:C14"/>
    <mergeCell ref="D14:E14"/>
    <mergeCell ref="A18:C18"/>
    <mergeCell ref="D18:E18"/>
    <mergeCell ref="C50:C51"/>
    <mergeCell ref="E50:E51"/>
    <mergeCell ref="A57:C57"/>
    <mergeCell ref="D57:E57"/>
    <mergeCell ref="A73:E73"/>
    <mergeCell ref="A58:C58"/>
    <mergeCell ref="D58:E58"/>
    <mergeCell ref="A63:C63"/>
    <mergeCell ref="D63:E63"/>
    <mergeCell ref="A69:C69"/>
    <mergeCell ref="D69:E69"/>
    <mergeCell ref="M8:N8"/>
    <mergeCell ref="A5:N6"/>
    <mergeCell ref="A2:N3"/>
    <mergeCell ref="A49:C49"/>
    <mergeCell ref="D49:E49"/>
    <mergeCell ref="A43:C43"/>
    <mergeCell ref="D43:E43"/>
    <mergeCell ref="A45:C45"/>
    <mergeCell ref="D45:E45"/>
    <mergeCell ref="A20:C20"/>
    <mergeCell ref="D20:E20"/>
    <mergeCell ref="A23:C23"/>
    <mergeCell ref="D23:E23"/>
    <mergeCell ref="A27:C27"/>
    <mergeCell ref="D27:E27"/>
    <mergeCell ref="A34:C34"/>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1"/>
  <sheetViews>
    <sheetView view="pageBreakPreview" zoomScale="60" zoomScaleNormal="68" workbookViewId="0">
      <selection activeCell="N66" sqref="N66"/>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11" width="21.42578125" customWidth="1"/>
    <col min="12" max="12" width="23.85546875" customWidth="1"/>
    <col min="13" max="13" width="24" customWidth="1"/>
    <col min="14" max="14" width="24.7109375" customWidth="1"/>
    <col min="15" max="15" width="26.140625" customWidth="1"/>
    <col min="17" max="17" width="20.140625" bestFit="1" customWidth="1"/>
  </cols>
  <sheetData>
    <row r="1" spans="1:15" s="2" customFormat="1" ht="18" x14ac:dyDescent="0.2">
      <c r="A1" s="840"/>
      <c r="B1" s="840"/>
      <c r="C1" s="173"/>
      <c r="D1" s="841"/>
      <c r="E1" s="841"/>
      <c r="F1" s="8"/>
      <c r="G1" s="8"/>
      <c r="H1" s="8"/>
      <c r="I1" s="8"/>
      <c r="J1" s="8"/>
      <c r="K1" s="8"/>
      <c r="L1" s="8"/>
      <c r="M1" s="8"/>
      <c r="N1" s="8"/>
      <c r="O1" s="8"/>
    </row>
    <row r="2" spans="1:15" s="2" customFormat="1" x14ac:dyDescent="0.2">
      <c r="A2" s="846" t="s">
        <v>680</v>
      </c>
      <c r="B2" s="846"/>
      <c r="C2" s="846"/>
      <c r="D2" s="846"/>
      <c r="E2" s="846"/>
      <c r="F2" s="846"/>
      <c r="G2" s="846"/>
      <c r="H2" s="846"/>
      <c r="I2" s="846"/>
      <c r="J2" s="846"/>
      <c r="K2" s="846"/>
      <c r="L2" s="846"/>
      <c r="M2" s="846"/>
      <c r="N2" s="846"/>
      <c r="O2" s="846"/>
    </row>
    <row r="3" spans="1:15" s="2" customFormat="1" x14ac:dyDescent="0.2">
      <c r="A3" s="846"/>
      <c r="B3" s="846"/>
      <c r="C3" s="846"/>
      <c r="D3" s="846"/>
      <c r="E3" s="846"/>
      <c r="F3" s="846"/>
      <c r="G3" s="846"/>
      <c r="H3" s="846"/>
      <c r="I3" s="846"/>
      <c r="J3" s="846"/>
      <c r="K3" s="846"/>
      <c r="L3" s="846"/>
      <c r="M3" s="846"/>
      <c r="N3" s="846"/>
      <c r="O3" s="846"/>
    </row>
    <row r="4" spans="1:15" s="2" customFormat="1" ht="30" x14ac:dyDescent="0.4">
      <c r="A4" s="28"/>
      <c r="B4" s="28"/>
      <c r="C4" s="28"/>
      <c r="D4" s="28"/>
      <c r="E4" s="28"/>
      <c r="F4" s="28"/>
      <c r="G4" s="28"/>
      <c r="H4" s="28"/>
      <c r="I4" s="28"/>
      <c r="J4" s="28"/>
      <c r="K4" s="28"/>
      <c r="L4" s="28"/>
      <c r="M4" s="28"/>
      <c r="N4" s="28"/>
      <c r="O4" s="28"/>
    </row>
    <row r="5" spans="1:15" s="2" customFormat="1" x14ac:dyDescent="0.2">
      <c r="A5" s="847" t="s">
        <v>569</v>
      </c>
      <c r="B5" s="847"/>
      <c r="C5" s="847"/>
      <c r="D5" s="847"/>
      <c r="E5" s="847"/>
      <c r="F5" s="847"/>
      <c r="G5" s="847"/>
      <c r="H5" s="847"/>
      <c r="I5" s="847"/>
      <c r="J5" s="847"/>
      <c r="K5" s="847"/>
      <c r="L5" s="847"/>
      <c r="M5" s="847"/>
      <c r="N5" s="847"/>
      <c r="O5" s="847"/>
    </row>
    <row r="6" spans="1:15" s="2" customFormat="1" x14ac:dyDescent="0.2">
      <c r="A6" s="847"/>
      <c r="B6" s="847"/>
      <c r="C6" s="847"/>
      <c r="D6" s="847"/>
      <c r="E6" s="847"/>
      <c r="F6" s="847"/>
      <c r="G6" s="847"/>
      <c r="H6" s="847"/>
      <c r="I6" s="847"/>
      <c r="J6" s="847"/>
      <c r="K6" s="847"/>
      <c r="L6" s="847"/>
      <c r="M6" s="847"/>
      <c r="N6" s="847"/>
      <c r="O6" s="847"/>
    </row>
    <row r="7" spans="1:15" ht="30.75" thickBot="1" x14ac:dyDescent="0.45">
      <c r="A7" s="25" t="s">
        <v>32</v>
      </c>
      <c r="B7" s="6"/>
      <c r="C7" s="22"/>
      <c r="D7" s="23"/>
      <c r="E7" s="23"/>
      <c r="F7" s="24"/>
      <c r="G7" s="23"/>
      <c r="H7" s="23"/>
      <c r="I7" s="23"/>
      <c r="J7" s="23"/>
      <c r="K7" s="23"/>
      <c r="L7" s="23"/>
      <c r="M7" s="23"/>
      <c r="N7" s="23"/>
      <c r="O7" s="23"/>
    </row>
    <row r="8" spans="1:15" ht="41.25" customHeight="1" x14ac:dyDescent="0.2">
      <c r="A8" s="842" t="s">
        <v>10</v>
      </c>
      <c r="B8" s="936" t="s">
        <v>95</v>
      </c>
      <c r="C8" s="844" t="s">
        <v>89</v>
      </c>
      <c r="D8" s="844" t="s">
        <v>11</v>
      </c>
      <c r="E8" s="844" t="s">
        <v>62</v>
      </c>
      <c r="F8" s="958" t="s">
        <v>34</v>
      </c>
      <c r="G8" s="938" t="s">
        <v>625</v>
      </c>
      <c r="H8" s="938" t="s">
        <v>555</v>
      </c>
      <c r="I8" s="938" t="s">
        <v>627</v>
      </c>
      <c r="J8" s="938" t="s">
        <v>628</v>
      </c>
      <c r="K8" s="938" t="s">
        <v>629</v>
      </c>
      <c r="L8" s="970" t="s">
        <v>711</v>
      </c>
      <c r="M8" s="970" t="s">
        <v>712</v>
      </c>
      <c r="N8" s="966" t="s">
        <v>74</v>
      </c>
      <c r="O8" s="966" t="s">
        <v>70</v>
      </c>
    </row>
    <row r="9" spans="1:15" ht="33.75" customHeight="1" x14ac:dyDescent="0.2">
      <c r="A9" s="843"/>
      <c r="B9" s="937"/>
      <c r="C9" s="845"/>
      <c r="D9" s="845"/>
      <c r="E9" s="845"/>
      <c r="F9" s="959"/>
      <c r="G9" s="939"/>
      <c r="H9" s="939"/>
      <c r="I9" s="939"/>
      <c r="J9" s="939"/>
      <c r="K9" s="939"/>
      <c r="L9" s="957"/>
      <c r="M9" s="957"/>
      <c r="N9" s="967"/>
      <c r="O9" s="967"/>
    </row>
    <row r="10" spans="1:15" ht="30" customHeight="1" x14ac:dyDescent="0.2">
      <c r="A10" s="843"/>
      <c r="B10" s="937"/>
      <c r="C10" s="845"/>
      <c r="D10" s="845"/>
      <c r="E10" s="845"/>
      <c r="F10" s="959"/>
      <c r="G10" s="939"/>
      <c r="H10" s="939"/>
      <c r="I10" s="939"/>
      <c r="J10" s="939"/>
      <c r="K10" s="939"/>
      <c r="L10" s="957"/>
      <c r="M10" s="957"/>
      <c r="N10" s="967"/>
      <c r="O10" s="967"/>
    </row>
    <row r="11" spans="1:15" ht="209.25" customHeight="1" thickBot="1" x14ac:dyDescent="0.25">
      <c r="A11" s="962"/>
      <c r="B11" s="963"/>
      <c r="C11" s="964"/>
      <c r="D11" s="964"/>
      <c r="E11" s="964"/>
      <c r="F11" s="965"/>
      <c r="G11" s="969"/>
      <c r="H11" s="969"/>
      <c r="I11" s="969"/>
      <c r="J11" s="969"/>
      <c r="K11" s="969"/>
      <c r="L11" s="971"/>
      <c r="M11" s="971"/>
      <c r="N11" s="968"/>
      <c r="O11" s="968"/>
    </row>
    <row r="12" spans="1:15" s="31" customFormat="1" ht="65.25" customHeight="1" thickBot="1" x14ac:dyDescent="0.4">
      <c r="A12" s="972" t="s">
        <v>38</v>
      </c>
      <c r="B12" s="973"/>
      <c r="C12" s="973"/>
      <c r="D12" s="973"/>
      <c r="E12" s="973"/>
      <c r="F12" s="973"/>
      <c r="G12" s="164" t="s">
        <v>554</v>
      </c>
      <c r="H12" s="164" t="s">
        <v>556</v>
      </c>
      <c r="I12" s="974" t="s">
        <v>708</v>
      </c>
      <c r="J12" s="975"/>
      <c r="K12" s="976"/>
      <c r="L12" s="164" t="s">
        <v>709</v>
      </c>
      <c r="M12" s="164" t="s">
        <v>710</v>
      </c>
      <c r="N12" s="164" t="s">
        <v>563</v>
      </c>
      <c r="O12" s="164" t="s">
        <v>552</v>
      </c>
    </row>
    <row r="13" spans="1:15" ht="26.25" x14ac:dyDescent="0.3">
      <c r="A13" s="928" t="s">
        <v>15</v>
      </c>
      <c r="B13" s="929"/>
      <c r="C13" s="929"/>
      <c r="D13" s="929"/>
      <c r="E13" s="929"/>
      <c r="F13" s="165">
        <f>F14+F20+F43+F45+F49+F57</f>
        <v>1927393</v>
      </c>
      <c r="G13" s="165">
        <f t="shared" ref="G13:J13" si="0">G14+G20+G45+G49+G57+G43</f>
        <v>289542</v>
      </c>
      <c r="H13" s="165">
        <f t="shared" si="0"/>
        <v>5909</v>
      </c>
      <c r="I13" s="165">
        <f t="shared" si="0"/>
        <v>1358339</v>
      </c>
      <c r="J13" s="165">
        <f t="shared" si="0"/>
        <v>0</v>
      </c>
      <c r="K13" s="165">
        <f t="shared" ref="K13:O13" si="1">K14+K20+K43+K45+K49+K57</f>
        <v>27722</v>
      </c>
      <c r="L13" s="165">
        <f t="shared" ref="L13" si="2">L14+L20+L45+L49+L57+L43</f>
        <v>26803</v>
      </c>
      <c r="M13" s="165">
        <f t="shared" ref="M13" si="3">M14+M20+M43+M45+M49+M57</f>
        <v>547</v>
      </c>
      <c r="N13" s="165">
        <f t="shared" si="1"/>
        <v>71972</v>
      </c>
      <c r="O13" s="165">
        <f t="shared" si="1"/>
        <v>146559</v>
      </c>
    </row>
    <row r="14" spans="1:15" ht="20.25" hidden="1" x14ac:dyDescent="0.3">
      <c r="A14" s="872" t="s">
        <v>94</v>
      </c>
      <c r="B14" s="873"/>
      <c r="C14" s="873"/>
      <c r="D14" s="947">
        <v>210</v>
      </c>
      <c r="E14" s="947"/>
      <c r="F14" s="47">
        <f t="shared" ref="F14:F19" si="4">SUM(G14:O14)</f>
        <v>0</v>
      </c>
      <c r="G14" s="47">
        <f t="shared" ref="G14:O14" si="5">G15+G16+G17+G18</f>
        <v>0</v>
      </c>
      <c r="H14" s="47">
        <f t="shared" si="5"/>
        <v>0</v>
      </c>
      <c r="I14" s="47">
        <f t="shared" si="5"/>
        <v>0</v>
      </c>
      <c r="J14" s="47">
        <f t="shared" si="5"/>
        <v>0</v>
      </c>
      <c r="K14" s="47">
        <f t="shared" si="5"/>
        <v>0</v>
      </c>
      <c r="L14" s="47">
        <f t="shared" si="5"/>
        <v>0</v>
      </c>
      <c r="M14" s="47">
        <f t="shared" si="5"/>
        <v>0</v>
      </c>
      <c r="N14" s="47">
        <f t="shared" si="5"/>
        <v>0</v>
      </c>
      <c r="O14" s="47">
        <f t="shared" si="5"/>
        <v>0</v>
      </c>
    </row>
    <row r="15" spans="1:15" ht="30.75" hidden="1" x14ac:dyDescent="0.25">
      <c r="A15" s="20" t="s">
        <v>16</v>
      </c>
      <c r="B15" s="40" t="s">
        <v>96</v>
      </c>
      <c r="C15" s="174" t="s">
        <v>47</v>
      </c>
      <c r="D15" s="67">
        <v>21101</v>
      </c>
      <c r="E15" s="174" t="s">
        <v>90</v>
      </c>
      <c r="F15" s="13">
        <f t="shared" si="4"/>
        <v>0</v>
      </c>
      <c r="G15" s="13"/>
      <c r="H15" s="13"/>
      <c r="I15" s="13"/>
      <c r="J15" s="13"/>
      <c r="K15" s="13"/>
      <c r="L15" s="13"/>
      <c r="M15" s="13"/>
      <c r="N15" s="13"/>
      <c r="O15" s="13"/>
    </row>
    <row r="16" spans="1:15" ht="20.25" hidden="1" x14ac:dyDescent="0.25">
      <c r="A16" s="16" t="s">
        <v>17</v>
      </c>
      <c r="B16" s="40" t="s">
        <v>97</v>
      </c>
      <c r="C16" s="174" t="s">
        <v>48</v>
      </c>
      <c r="D16" s="67">
        <v>21300</v>
      </c>
      <c r="E16" s="174" t="s">
        <v>18</v>
      </c>
      <c r="F16" s="13">
        <f t="shared" si="4"/>
        <v>0</v>
      </c>
      <c r="G16" s="13"/>
      <c r="H16" s="13"/>
      <c r="I16" s="13"/>
      <c r="J16" s="13"/>
      <c r="K16" s="13"/>
      <c r="L16" s="13"/>
      <c r="M16" s="13"/>
      <c r="N16" s="13"/>
      <c r="O16" s="13"/>
    </row>
    <row r="17" spans="1:15" ht="30.75" hidden="1" x14ac:dyDescent="0.25">
      <c r="A17" s="16" t="s">
        <v>98</v>
      </c>
      <c r="B17" s="40" t="s">
        <v>99</v>
      </c>
      <c r="C17" s="174" t="s">
        <v>48</v>
      </c>
      <c r="D17" s="67">
        <v>21300</v>
      </c>
      <c r="E17" s="174" t="s">
        <v>18</v>
      </c>
      <c r="F17" s="13">
        <f t="shared" si="4"/>
        <v>0</v>
      </c>
      <c r="G17" s="13"/>
      <c r="H17" s="13"/>
      <c r="I17" s="13"/>
      <c r="J17" s="13"/>
      <c r="K17" s="13"/>
      <c r="L17" s="13"/>
      <c r="M17" s="13"/>
      <c r="N17" s="13"/>
      <c r="O17" s="13"/>
    </row>
    <row r="18" spans="1:15" ht="20.25" hidden="1" x14ac:dyDescent="0.3">
      <c r="A18" s="862" t="s">
        <v>12</v>
      </c>
      <c r="B18" s="863"/>
      <c r="C18" s="863"/>
      <c r="D18" s="949">
        <v>212</v>
      </c>
      <c r="E18" s="949"/>
      <c r="F18" s="44">
        <f t="shared" si="4"/>
        <v>0</v>
      </c>
      <c r="G18" s="44">
        <f t="shared" ref="G18:O18" si="6">G19</f>
        <v>0</v>
      </c>
      <c r="H18" s="44">
        <f t="shared" si="6"/>
        <v>0</v>
      </c>
      <c r="I18" s="44">
        <f t="shared" si="6"/>
        <v>0</v>
      </c>
      <c r="J18" s="44">
        <f t="shared" si="6"/>
        <v>0</v>
      </c>
      <c r="K18" s="44">
        <f t="shared" si="6"/>
        <v>0</v>
      </c>
      <c r="L18" s="44">
        <f t="shared" si="6"/>
        <v>0</v>
      </c>
      <c r="M18" s="44">
        <f t="shared" si="6"/>
        <v>0</v>
      </c>
      <c r="N18" s="44">
        <f t="shared" si="6"/>
        <v>0</v>
      </c>
      <c r="O18" s="44">
        <f t="shared" si="6"/>
        <v>0</v>
      </c>
    </row>
    <row r="19" spans="1:15" ht="31.5" hidden="1" x14ac:dyDescent="0.3">
      <c r="A19" s="57" t="s">
        <v>112</v>
      </c>
      <c r="B19" s="166" t="s">
        <v>100</v>
      </c>
      <c r="C19" s="38">
        <v>112</v>
      </c>
      <c r="D19" s="41">
        <v>21201</v>
      </c>
      <c r="E19" s="174" t="s">
        <v>59</v>
      </c>
      <c r="F19" s="13">
        <f t="shared" si="4"/>
        <v>0</v>
      </c>
      <c r="G19" s="14"/>
      <c r="H19" s="14"/>
      <c r="I19" s="14"/>
      <c r="J19" s="14"/>
      <c r="K19" s="14"/>
      <c r="L19" s="14"/>
      <c r="M19" s="14"/>
      <c r="N19" s="14"/>
      <c r="O19" s="14"/>
    </row>
    <row r="20" spans="1:15" ht="20.25" hidden="1" x14ac:dyDescent="0.3">
      <c r="A20" s="872" t="s">
        <v>92</v>
      </c>
      <c r="B20" s="873"/>
      <c r="C20" s="873"/>
      <c r="D20" s="955">
        <v>220</v>
      </c>
      <c r="E20" s="955"/>
      <c r="F20" s="45">
        <f>F21+F22+F23+F27+F34</f>
        <v>0</v>
      </c>
      <c r="G20" s="45">
        <f t="shared" ref="G20:O20" si="7">G21+G22+G23+G27+G34</f>
        <v>0</v>
      </c>
      <c r="H20" s="45">
        <f t="shared" si="7"/>
        <v>0</v>
      </c>
      <c r="I20" s="45">
        <f t="shared" si="7"/>
        <v>0</v>
      </c>
      <c r="J20" s="45">
        <f t="shared" si="7"/>
        <v>0</v>
      </c>
      <c r="K20" s="45">
        <f t="shared" si="7"/>
        <v>0</v>
      </c>
      <c r="L20" s="45">
        <f t="shared" si="7"/>
        <v>0</v>
      </c>
      <c r="M20" s="45">
        <f t="shared" si="7"/>
        <v>0</v>
      </c>
      <c r="N20" s="45">
        <f t="shared" si="7"/>
        <v>0</v>
      </c>
      <c r="O20" s="45">
        <f t="shared" si="7"/>
        <v>0</v>
      </c>
    </row>
    <row r="21" spans="1:15" ht="20.25" hidden="1" x14ac:dyDescent="0.25">
      <c r="A21" s="51" t="s">
        <v>0</v>
      </c>
      <c r="B21" s="167" t="s">
        <v>100</v>
      </c>
      <c r="C21" s="53" t="s">
        <v>49</v>
      </c>
      <c r="D21" s="54">
        <v>22100</v>
      </c>
      <c r="E21" s="53" t="s">
        <v>113</v>
      </c>
      <c r="F21" s="48">
        <f>SUM(G21:O21)</f>
        <v>0</v>
      </c>
      <c r="G21" s="48"/>
      <c r="H21" s="48"/>
      <c r="I21" s="48"/>
      <c r="J21" s="48"/>
      <c r="K21" s="48"/>
      <c r="L21" s="48"/>
      <c r="M21" s="48"/>
      <c r="N21" s="48"/>
      <c r="O21" s="48"/>
    </row>
    <row r="22" spans="1:15" ht="20.25" hidden="1" x14ac:dyDescent="0.25">
      <c r="A22" s="51" t="s">
        <v>93</v>
      </c>
      <c r="B22" s="167" t="s">
        <v>100</v>
      </c>
      <c r="C22" s="53" t="s">
        <v>49</v>
      </c>
      <c r="D22" s="54">
        <v>22299</v>
      </c>
      <c r="E22" s="53" t="s">
        <v>60</v>
      </c>
      <c r="F22" s="48">
        <f>SUM(G22:O22)</f>
        <v>0</v>
      </c>
      <c r="G22" s="48"/>
      <c r="H22" s="48"/>
      <c r="I22" s="48"/>
      <c r="J22" s="48"/>
      <c r="K22" s="48"/>
      <c r="L22" s="48"/>
      <c r="M22" s="48"/>
      <c r="N22" s="48"/>
      <c r="O22" s="48"/>
    </row>
    <row r="23" spans="1:15" ht="20.25" hidden="1" x14ac:dyDescent="0.3">
      <c r="A23" s="862" t="s">
        <v>19</v>
      </c>
      <c r="B23" s="863"/>
      <c r="C23" s="863"/>
      <c r="D23" s="954">
        <v>223</v>
      </c>
      <c r="E23" s="954"/>
      <c r="F23" s="48">
        <f>SUM(F24:F26)</f>
        <v>0</v>
      </c>
      <c r="G23" s="48">
        <f t="shared" ref="G23:O23" si="8">SUM(G24:G26)</f>
        <v>0</v>
      </c>
      <c r="H23" s="48">
        <f t="shared" si="8"/>
        <v>0</v>
      </c>
      <c r="I23" s="48">
        <f t="shared" si="8"/>
        <v>0</v>
      </c>
      <c r="J23" s="48">
        <f t="shared" si="8"/>
        <v>0</v>
      </c>
      <c r="K23" s="48">
        <f t="shared" si="8"/>
        <v>0</v>
      </c>
      <c r="L23" s="48">
        <f t="shared" si="8"/>
        <v>0</v>
      </c>
      <c r="M23" s="48">
        <f t="shared" si="8"/>
        <v>0</v>
      </c>
      <c r="N23" s="48">
        <f t="shared" si="8"/>
        <v>0</v>
      </c>
      <c r="O23" s="48">
        <f t="shared" si="8"/>
        <v>0</v>
      </c>
    </row>
    <row r="24" spans="1:15" ht="20.25" hidden="1" x14ac:dyDescent="0.25">
      <c r="A24" s="37" t="s">
        <v>20</v>
      </c>
      <c r="B24" s="40" t="s">
        <v>102</v>
      </c>
      <c r="C24" s="174" t="s">
        <v>543</v>
      </c>
      <c r="D24" s="67">
        <v>22301</v>
      </c>
      <c r="E24" s="174" t="s">
        <v>69</v>
      </c>
      <c r="F24" s="13">
        <f>SUM(G24:O24)</f>
        <v>0</v>
      </c>
      <c r="G24" s="13"/>
      <c r="H24" s="13"/>
      <c r="I24" s="13"/>
      <c r="J24" s="13"/>
      <c r="K24" s="13"/>
      <c r="L24" s="13"/>
      <c r="M24" s="13"/>
      <c r="N24" s="13"/>
      <c r="O24" s="13"/>
    </row>
    <row r="25" spans="1:15" ht="30.75" hidden="1" x14ac:dyDescent="0.25">
      <c r="A25" s="20" t="s">
        <v>5</v>
      </c>
      <c r="B25" s="40" t="s">
        <v>102</v>
      </c>
      <c r="C25" s="174" t="s">
        <v>49</v>
      </c>
      <c r="D25" s="67">
        <v>22302</v>
      </c>
      <c r="E25" s="174" t="s">
        <v>69</v>
      </c>
      <c r="F25" s="13">
        <f>SUM(G25:O25)</f>
        <v>0</v>
      </c>
      <c r="G25" s="13"/>
      <c r="H25" s="13"/>
      <c r="I25" s="13"/>
      <c r="J25" s="13"/>
      <c r="K25" s="13"/>
      <c r="L25" s="13"/>
      <c r="M25" s="13"/>
      <c r="N25" s="13"/>
      <c r="O25" s="13"/>
    </row>
    <row r="26" spans="1:15" ht="30" hidden="1" x14ac:dyDescent="0.25">
      <c r="A26" s="37" t="s">
        <v>21</v>
      </c>
      <c r="B26" s="40" t="s">
        <v>102</v>
      </c>
      <c r="C26" s="174" t="s">
        <v>543</v>
      </c>
      <c r="D26" s="67">
        <v>22303</v>
      </c>
      <c r="E26" s="174" t="s">
        <v>69</v>
      </c>
      <c r="F26" s="13">
        <f>SUM(G26:O26)</f>
        <v>0</v>
      </c>
      <c r="G26" s="13"/>
      <c r="H26" s="13"/>
      <c r="I26" s="13"/>
      <c r="J26" s="13"/>
      <c r="K26" s="13"/>
      <c r="L26" s="13"/>
      <c r="M26" s="13"/>
      <c r="N26" s="13"/>
      <c r="O26" s="13"/>
    </row>
    <row r="27" spans="1:15" ht="20.25" hidden="1" x14ac:dyDescent="0.3">
      <c r="A27" s="862" t="s">
        <v>103</v>
      </c>
      <c r="B27" s="863"/>
      <c r="C27" s="863"/>
      <c r="D27" s="949">
        <v>225</v>
      </c>
      <c r="E27" s="949"/>
      <c r="F27" s="48">
        <f>SUM(F28:F33)</f>
        <v>0</v>
      </c>
      <c r="G27" s="48">
        <f t="shared" ref="G27:O27" si="9">SUM(G28:G30)</f>
        <v>0</v>
      </c>
      <c r="H27" s="48">
        <f t="shared" si="9"/>
        <v>0</v>
      </c>
      <c r="I27" s="48">
        <f t="shared" si="9"/>
        <v>0</v>
      </c>
      <c r="J27" s="48">
        <f t="shared" si="9"/>
        <v>0</v>
      </c>
      <c r="K27" s="48">
        <f t="shared" si="9"/>
        <v>0</v>
      </c>
      <c r="L27" s="48">
        <f t="shared" si="9"/>
        <v>0</v>
      </c>
      <c r="M27" s="48">
        <f t="shared" si="9"/>
        <v>0</v>
      </c>
      <c r="N27" s="48">
        <f t="shared" si="9"/>
        <v>0</v>
      </c>
      <c r="O27" s="48">
        <f t="shared" si="9"/>
        <v>0</v>
      </c>
    </row>
    <row r="28" spans="1:15" ht="20.25" hidden="1" x14ac:dyDescent="0.25">
      <c r="A28" s="42" t="s">
        <v>54</v>
      </c>
      <c r="B28" s="40" t="s">
        <v>100</v>
      </c>
      <c r="C28" s="174" t="s">
        <v>49</v>
      </c>
      <c r="D28" s="67">
        <v>22501</v>
      </c>
      <c r="E28" s="174" t="s">
        <v>104</v>
      </c>
      <c r="F28" s="13">
        <f t="shared" ref="F28:F42" si="10">SUM(G28:O28)</f>
        <v>0</v>
      </c>
      <c r="G28" s="13"/>
      <c r="H28" s="13"/>
      <c r="I28" s="13"/>
      <c r="J28" s="13"/>
      <c r="K28" s="13"/>
      <c r="L28" s="13"/>
      <c r="M28" s="13"/>
      <c r="N28" s="13"/>
      <c r="O28" s="13"/>
    </row>
    <row r="29" spans="1:15" ht="20.25" hidden="1" x14ac:dyDescent="0.25">
      <c r="A29" s="42" t="s">
        <v>58</v>
      </c>
      <c r="B29" s="40" t="s">
        <v>100</v>
      </c>
      <c r="C29" s="174" t="s">
        <v>49</v>
      </c>
      <c r="D29" s="67">
        <v>22502</v>
      </c>
      <c r="E29" s="174" t="s">
        <v>104</v>
      </c>
      <c r="F29" s="13">
        <f t="shared" si="10"/>
        <v>0</v>
      </c>
      <c r="G29" s="13"/>
      <c r="H29" s="13"/>
      <c r="I29" s="13"/>
      <c r="J29" s="13"/>
      <c r="K29" s="13"/>
      <c r="L29" s="13"/>
      <c r="M29" s="13"/>
      <c r="N29" s="13"/>
      <c r="O29" s="13"/>
    </row>
    <row r="30" spans="1:15" ht="20.25" hidden="1" x14ac:dyDescent="0.25">
      <c r="A30" s="43" t="s">
        <v>56</v>
      </c>
      <c r="B30" s="40" t="s">
        <v>100</v>
      </c>
      <c r="C30" s="174" t="s">
        <v>49</v>
      </c>
      <c r="D30" s="67">
        <v>22503</v>
      </c>
      <c r="E30" s="174" t="s">
        <v>104</v>
      </c>
      <c r="F30" s="13">
        <f t="shared" si="10"/>
        <v>0</v>
      </c>
      <c r="G30" s="13"/>
      <c r="H30" s="13"/>
      <c r="I30" s="13"/>
      <c r="J30" s="13"/>
      <c r="K30" s="13"/>
      <c r="L30" s="13"/>
      <c r="M30" s="13"/>
      <c r="N30" s="13"/>
      <c r="O30" s="13"/>
    </row>
    <row r="31" spans="1:15" ht="30.75" hidden="1" x14ac:dyDescent="0.25">
      <c r="A31" s="43" t="s">
        <v>57</v>
      </c>
      <c r="B31" s="40" t="s">
        <v>100</v>
      </c>
      <c r="C31" s="174" t="s">
        <v>49</v>
      </c>
      <c r="D31" s="67">
        <v>22504</v>
      </c>
      <c r="E31" s="174" t="s">
        <v>104</v>
      </c>
      <c r="F31" s="13">
        <f t="shared" si="10"/>
        <v>0</v>
      </c>
      <c r="G31" s="13"/>
      <c r="H31" s="13"/>
      <c r="I31" s="13"/>
      <c r="J31" s="13"/>
      <c r="K31" s="13"/>
      <c r="L31" s="13"/>
      <c r="M31" s="13"/>
      <c r="N31" s="13"/>
      <c r="O31" s="13"/>
    </row>
    <row r="32" spans="1:15" ht="20.25" hidden="1" x14ac:dyDescent="0.25">
      <c r="A32" s="42" t="s">
        <v>55</v>
      </c>
      <c r="B32" s="40" t="s">
        <v>100</v>
      </c>
      <c r="C32" s="174" t="s">
        <v>49</v>
      </c>
      <c r="D32" s="67">
        <v>22505</v>
      </c>
      <c r="E32" s="174" t="s">
        <v>104</v>
      </c>
      <c r="F32" s="13">
        <f t="shared" si="10"/>
        <v>0</v>
      </c>
      <c r="G32" s="13"/>
      <c r="H32" s="13"/>
      <c r="I32" s="13"/>
      <c r="J32" s="13"/>
      <c r="K32" s="13"/>
      <c r="L32" s="13"/>
      <c r="M32" s="13"/>
      <c r="N32" s="13"/>
      <c r="O32" s="13"/>
    </row>
    <row r="33" spans="1:15" ht="30.75" hidden="1" x14ac:dyDescent="0.25">
      <c r="A33" s="42" t="s">
        <v>22</v>
      </c>
      <c r="B33" s="40" t="s">
        <v>100</v>
      </c>
      <c r="C33" s="174" t="s">
        <v>49</v>
      </c>
      <c r="D33" s="67">
        <v>22599</v>
      </c>
      <c r="E33" s="174" t="s">
        <v>104</v>
      </c>
      <c r="F33" s="13">
        <f t="shared" si="10"/>
        <v>0</v>
      </c>
      <c r="G33" s="13"/>
      <c r="H33" s="13"/>
      <c r="I33" s="13"/>
      <c r="J33" s="13"/>
      <c r="K33" s="13"/>
      <c r="L33" s="13"/>
      <c r="M33" s="13"/>
      <c r="N33" s="13"/>
      <c r="O33" s="13"/>
    </row>
    <row r="34" spans="1:15" ht="20.25" hidden="1" x14ac:dyDescent="0.3">
      <c r="A34" s="862" t="s">
        <v>109</v>
      </c>
      <c r="B34" s="863"/>
      <c r="C34" s="863"/>
      <c r="D34" s="949">
        <v>226</v>
      </c>
      <c r="E34" s="949"/>
      <c r="F34" s="44">
        <f t="shared" si="10"/>
        <v>0</v>
      </c>
      <c r="G34" s="44">
        <f t="shared" ref="G34:O34" si="11">SUM(G35:G42)</f>
        <v>0</v>
      </c>
      <c r="H34" s="44">
        <f t="shared" si="11"/>
        <v>0</v>
      </c>
      <c r="I34" s="44">
        <f t="shared" si="11"/>
        <v>0</v>
      </c>
      <c r="J34" s="44">
        <f t="shared" si="11"/>
        <v>0</v>
      </c>
      <c r="K34" s="44">
        <f t="shared" si="11"/>
        <v>0</v>
      </c>
      <c r="L34" s="44">
        <f t="shared" si="11"/>
        <v>0</v>
      </c>
      <c r="M34" s="44">
        <f t="shared" si="11"/>
        <v>0</v>
      </c>
      <c r="N34" s="44">
        <f t="shared" si="11"/>
        <v>0</v>
      </c>
      <c r="O34" s="44">
        <f t="shared" si="11"/>
        <v>0</v>
      </c>
    </row>
    <row r="35" spans="1:15" ht="20.25" hidden="1" x14ac:dyDescent="0.25">
      <c r="A35" s="43" t="s">
        <v>33</v>
      </c>
      <c r="B35" s="40" t="s">
        <v>100</v>
      </c>
      <c r="C35" s="174" t="s">
        <v>49</v>
      </c>
      <c r="D35" s="67">
        <v>22601</v>
      </c>
      <c r="E35" s="174" t="s">
        <v>110</v>
      </c>
      <c r="F35" s="13">
        <f t="shared" si="10"/>
        <v>0</v>
      </c>
      <c r="G35" s="13"/>
      <c r="H35" s="13"/>
      <c r="I35" s="13"/>
      <c r="J35" s="13"/>
      <c r="K35" s="13"/>
      <c r="L35" s="13"/>
      <c r="M35" s="13"/>
      <c r="N35" s="13"/>
      <c r="O35" s="13"/>
    </row>
    <row r="36" spans="1:15" ht="31.5" hidden="1" x14ac:dyDescent="0.25">
      <c r="A36" s="42" t="s">
        <v>111</v>
      </c>
      <c r="B36" s="40" t="s">
        <v>100</v>
      </c>
      <c r="C36" s="174" t="s">
        <v>50</v>
      </c>
      <c r="D36" s="67">
        <v>22602</v>
      </c>
      <c r="E36" s="174" t="s">
        <v>110</v>
      </c>
      <c r="F36" s="13">
        <f t="shared" si="10"/>
        <v>0</v>
      </c>
      <c r="G36" s="13"/>
      <c r="H36" s="13"/>
      <c r="I36" s="13"/>
      <c r="J36" s="13"/>
      <c r="K36" s="13"/>
      <c r="L36" s="13"/>
      <c r="M36" s="13"/>
      <c r="N36" s="13"/>
      <c r="O36" s="13"/>
    </row>
    <row r="37" spans="1:15" ht="31.5" hidden="1" x14ac:dyDescent="0.25">
      <c r="A37" s="42" t="s">
        <v>114</v>
      </c>
      <c r="B37" s="40" t="s">
        <v>100</v>
      </c>
      <c r="C37" s="174" t="s">
        <v>115</v>
      </c>
      <c r="D37" s="67">
        <v>22602</v>
      </c>
      <c r="E37" s="174" t="s">
        <v>110</v>
      </c>
      <c r="F37" s="13">
        <f t="shared" si="10"/>
        <v>0</v>
      </c>
      <c r="G37" s="13"/>
      <c r="H37" s="13"/>
      <c r="I37" s="13"/>
      <c r="J37" s="13"/>
      <c r="K37" s="13"/>
      <c r="L37" s="13"/>
      <c r="M37" s="13"/>
      <c r="N37" s="13"/>
      <c r="O37" s="13"/>
    </row>
    <row r="38" spans="1:15" ht="20.25" hidden="1" x14ac:dyDescent="0.25">
      <c r="A38" s="42" t="s">
        <v>23</v>
      </c>
      <c r="B38" s="40" t="s">
        <v>100</v>
      </c>
      <c r="C38" s="174" t="s">
        <v>49</v>
      </c>
      <c r="D38" s="67">
        <v>22603</v>
      </c>
      <c r="E38" s="174" t="s">
        <v>110</v>
      </c>
      <c r="F38" s="13">
        <f t="shared" si="10"/>
        <v>0</v>
      </c>
      <c r="G38" s="13"/>
      <c r="H38" s="13"/>
      <c r="I38" s="13"/>
      <c r="J38" s="13"/>
      <c r="K38" s="13"/>
      <c r="L38" s="13"/>
      <c r="M38" s="13"/>
      <c r="N38" s="13"/>
      <c r="O38" s="13"/>
    </row>
    <row r="39" spans="1:15" ht="30.75" hidden="1" x14ac:dyDescent="0.25">
      <c r="A39" s="42" t="s">
        <v>24</v>
      </c>
      <c r="B39" s="40" t="s">
        <v>100</v>
      </c>
      <c r="C39" s="174" t="s">
        <v>49</v>
      </c>
      <c r="D39" s="67">
        <v>22605</v>
      </c>
      <c r="E39" s="174" t="s">
        <v>110</v>
      </c>
      <c r="F39" s="13">
        <f t="shared" si="10"/>
        <v>0</v>
      </c>
      <c r="G39" s="13"/>
      <c r="H39" s="13"/>
      <c r="I39" s="13"/>
      <c r="J39" s="13"/>
      <c r="K39" s="13"/>
      <c r="L39" s="13"/>
      <c r="M39" s="13"/>
      <c r="N39" s="13"/>
      <c r="O39" s="13"/>
    </row>
    <row r="40" spans="1:15" ht="46.5" hidden="1" x14ac:dyDescent="0.25">
      <c r="A40" s="42" t="s">
        <v>116</v>
      </c>
      <c r="B40" s="40" t="s">
        <v>100</v>
      </c>
      <c r="C40" s="174" t="s">
        <v>50</v>
      </c>
      <c r="D40" s="67">
        <v>22606</v>
      </c>
      <c r="E40" s="174" t="s">
        <v>110</v>
      </c>
      <c r="F40" s="13">
        <f t="shared" si="10"/>
        <v>0</v>
      </c>
      <c r="G40" s="13"/>
      <c r="H40" s="13"/>
      <c r="I40" s="13"/>
      <c r="J40" s="13"/>
      <c r="K40" s="13"/>
      <c r="L40" s="13"/>
      <c r="M40" s="13"/>
      <c r="N40" s="13"/>
      <c r="O40" s="13"/>
    </row>
    <row r="41" spans="1:15" ht="31.5" hidden="1" x14ac:dyDescent="0.25">
      <c r="A41" s="42" t="s">
        <v>117</v>
      </c>
      <c r="B41" s="40" t="s">
        <v>100</v>
      </c>
      <c r="C41" s="174" t="s">
        <v>50</v>
      </c>
      <c r="D41" s="67">
        <v>22699</v>
      </c>
      <c r="E41" s="174" t="s">
        <v>110</v>
      </c>
      <c r="F41" s="13">
        <f t="shared" si="10"/>
        <v>0</v>
      </c>
      <c r="G41" s="13"/>
      <c r="H41" s="13"/>
      <c r="I41" s="13"/>
      <c r="J41" s="13"/>
      <c r="K41" s="13"/>
      <c r="L41" s="13"/>
      <c r="M41" s="13"/>
      <c r="N41" s="13"/>
      <c r="O41" s="13"/>
    </row>
    <row r="42" spans="1:15" ht="30.75" hidden="1" x14ac:dyDescent="0.25">
      <c r="A42" s="42" t="s">
        <v>25</v>
      </c>
      <c r="B42" s="40" t="s">
        <v>100</v>
      </c>
      <c r="C42" s="174" t="s">
        <v>49</v>
      </c>
      <c r="D42" s="67">
        <v>22699</v>
      </c>
      <c r="E42" s="174" t="s">
        <v>110</v>
      </c>
      <c r="F42" s="13">
        <f t="shared" si="10"/>
        <v>0</v>
      </c>
      <c r="G42" s="13"/>
      <c r="H42" s="13"/>
      <c r="I42" s="13"/>
      <c r="J42" s="13"/>
      <c r="K42" s="13"/>
      <c r="L42" s="13"/>
      <c r="M42" s="13"/>
      <c r="N42" s="13"/>
      <c r="O42" s="13"/>
    </row>
    <row r="43" spans="1:15" ht="34.5" hidden="1" customHeight="1" x14ac:dyDescent="0.3">
      <c r="A43" s="872" t="s">
        <v>499</v>
      </c>
      <c r="B43" s="873"/>
      <c r="C43" s="873"/>
      <c r="D43" s="947">
        <v>26300</v>
      </c>
      <c r="E43" s="947"/>
      <c r="F43" s="45">
        <f t="shared" ref="F43" si="12">SUM(F44)</f>
        <v>0</v>
      </c>
      <c r="G43" s="45">
        <f t="shared" ref="G43:J43" si="13">G44</f>
        <v>0</v>
      </c>
      <c r="H43" s="45">
        <f t="shared" si="13"/>
        <v>0</v>
      </c>
      <c r="I43" s="45">
        <f t="shared" si="13"/>
        <v>0</v>
      </c>
      <c r="J43" s="45">
        <f t="shared" si="13"/>
        <v>0</v>
      </c>
      <c r="K43" s="45">
        <f t="shared" ref="K43:O43" si="14">SUM(K44)</f>
        <v>0</v>
      </c>
      <c r="L43" s="45">
        <f t="shared" ref="L43" si="15">L44</f>
        <v>0</v>
      </c>
      <c r="M43" s="45">
        <f t="shared" ref="M43" si="16">SUM(M44)</f>
        <v>0</v>
      </c>
      <c r="N43" s="45">
        <f t="shared" si="14"/>
        <v>0</v>
      </c>
      <c r="O43" s="45">
        <f t="shared" si="14"/>
        <v>0</v>
      </c>
    </row>
    <row r="44" spans="1:15" ht="32.25" hidden="1" customHeight="1" x14ac:dyDescent="0.25">
      <c r="A44" s="42" t="s">
        <v>500</v>
      </c>
      <c r="B44" s="40" t="s">
        <v>100</v>
      </c>
      <c r="C44" s="174" t="s">
        <v>281</v>
      </c>
      <c r="D44" s="67">
        <v>26300</v>
      </c>
      <c r="E44" s="174" t="s">
        <v>501</v>
      </c>
      <c r="F44" s="13">
        <f>SUM(G44:O44)</f>
        <v>0</v>
      </c>
      <c r="G44" s="13"/>
      <c r="H44" s="13"/>
      <c r="I44" s="13"/>
      <c r="J44" s="13"/>
      <c r="K44" s="13"/>
      <c r="L44" s="13"/>
      <c r="M44" s="13"/>
      <c r="N44" s="13"/>
      <c r="O44" s="13"/>
    </row>
    <row r="45" spans="1:15" ht="20.25" hidden="1" x14ac:dyDescent="0.3">
      <c r="A45" s="872" t="s">
        <v>121</v>
      </c>
      <c r="B45" s="873"/>
      <c r="C45" s="873"/>
      <c r="D45" s="947">
        <v>266</v>
      </c>
      <c r="E45" s="947"/>
      <c r="F45" s="45">
        <f>SUM(G45:O45)</f>
        <v>0</v>
      </c>
      <c r="G45" s="45">
        <f t="shared" ref="G45:O45" si="17">SUM(G46:G48)</f>
        <v>0</v>
      </c>
      <c r="H45" s="45">
        <f t="shared" si="17"/>
        <v>0</v>
      </c>
      <c r="I45" s="45">
        <f t="shared" si="17"/>
        <v>0</v>
      </c>
      <c r="J45" s="45">
        <f t="shared" si="17"/>
        <v>0</v>
      </c>
      <c r="K45" s="45">
        <f t="shared" si="17"/>
        <v>0</v>
      </c>
      <c r="L45" s="45">
        <f t="shared" si="17"/>
        <v>0</v>
      </c>
      <c r="M45" s="45">
        <f t="shared" si="17"/>
        <v>0</v>
      </c>
      <c r="N45" s="45">
        <f t="shared" si="17"/>
        <v>0</v>
      </c>
      <c r="O45" s="45">
        <f t="shared" si="17"/>
        <v>0</v>
      </c>
    </row>
    <row r="46" spans="1:15" ht="31.5" hidden="1" x14ac:dyDescent="0.25">
      <c r="A46" s="42" t="s">
        <v>118</v>
      </c>
      <c r="B46" s="40" t="s">
        <v>96</v>
      </c>
      <c r="C46" s="174" t="s">
        <v>47</v>
      </c>
      <c r="D46" s="67">
        <v>26600</v>
      </c>
      <c r="E46" s="174" t="s">
        <v>91</v>
      </c>
      <c r="F46" s="13">
        <f>SUM(G46:O46)</f>
        <v>0</v>
      </c>
      <c r="G46" s="13"/>
      <c r="H46" s="13"/>
      <c r="I46" s="13"/>
      <c r="J46" s="13"/>
      <c r="K46" s="13"/>
      <c r="L46" s="13"/>
      <c r="M46" s="13"/>
      <c r="N46" s="13"/>
      <c r="O46" s="13"/>
    </row>
    <row r="47" spans="1:15" ht="31.5" hidden="1" x14ac:dyDescent="0.25">
      <c r="A47" s="42" t="s">
        <v>119</v>
      </c>
      <c r="B47" s="40" t="s">
        <v>100</v>
      </c>
      <c r="C47" s="174" t="s">
        <v>50</v>
      </c>
      <c r="D47" s="67">
        <v>26601</v>
      </c>
      <c r="E47" s="174" t="s">
        <v>91</v>
      </c>
      <c r="F47" s="13">
        <f>SUM(G47:O47)</f>
        <v>0</v>
      </c>
      <c r="G47" s="13"/>
      <c r="H47" s="13"/>
      <c r="I47" s="13"/>
      <c r="J47" s="13"/>
      <c r="K47" s="13"/>
      <c r="L47" s="13"/>
      <c r="M47" s="13"/>
      <c r="N47" s="13"/>
      <c r="O47" s="13"/>
    </row>
    <row r="48" spans="1:15" ht="47.25" hidden="1" x14ac:dyDescent="0.25">
      <c r="A48" s="42" t="s">
        <v>120</v>
      </c>
      <c r="B48" s="40" t="s">
        <v>99</v>
      </c>
      <c r="C48" s="174" t="s">
        <v>50</v>
      </c>
      <c r="D48" s="67">
        <v>26602</v>
      </c>
      <c r="E48" s="174" t="s">
        <v>91</v>
      </c>
      <c r="F48" s="13">
        <f>SUM(G48:O48)</f>
        <v>0</v>
      </c>
      <c r="G48" s="13"/>
      <c r="H48" s="13"/>
      <c r="I48" s="13"/>
      <c r="J48" s="13"/>
      <c r="K48" s="13"/>
      <c r="L48" s="13"/>
      <c r="M48" s="13"/>
      <c r="N48" s="13"/>
      <c r="O48" s="13"/>
    </row>
    <row r="49" spans="1:15" s="1" customFormat="1" ht="20.25" hidden="1" x14ac:dyDescent="0.3">
      <c r="A49" s="872" t="s">
        <v>31</v>
      </c>
      <c r="B49" s="873"/>
      <c r="C49" s="873"/>
      <c r="D49" s="947">
        <v>290</v>
      </c>
      <c r="E49" s="947"/>
      <c r="F49" s="45">
        <f>SUM(F50:F56)</f>
        <v>0</v>
      </c>
      <c r="G49" s="45">
        <f t="shared" ref="G49:O49" si="18">SUM(G50:G56)</f>
        <v>0</v>
      </c>
      <c r="H49" s="45">
        <f t="shared" si="18"/>
        <v>0</v>
      </c>
      <c r="I49" s="45">
        <f t="shared" si="18"/>
        <v>0</v>
      </c>
      <c r="J49" s="45">
        <f t="shared" si="18"/>
        <v>0</v>
      </c>
      <c r="K49" s="45">
        <f t="shared" si="18"/>
        <v>0</v>
      </c>
      <c r="L49" s="45">
        <f t="shared" si="18"/>
        <v>0</v>
      </c>
      <c r="M49" s="45">
        <f t="shared" si="18"/>
        <v>0</v>
      </c>
      <c r="N49" s="45">
        <f t="shared" si="18"/>
        <v>0</v>
      </c>
      <c r="O49" s="45">
        <f t="shared" si="18"/>
        <v>0</v>
      </c>
    </row>
    <row r="50" spans="1:15" ht="20.25" hidden="1" x14ac:dyDescent="0.25">
      <c r="A50" s="27" t="s">
        <v>513</v>
      </c>
      <c r="B50" s="40" t="s">
        <v>100</v>
      </c>
      <c r="C50" s="950" t="s">
        <v>51</v>
      </c>
      <c r="D50" s="67">
        <v>29101</v>
      </c>
      <c r="E50" s="950" t="s">
        <v>123</v>
      </c>
      <c r="F50" s="13">
        <f t="shared" ref="F50:F56" si="19">SUM(G50:O50)</f>
        <v>0</v>
      </c>
      <c r="G50" s="13"/>
      <c r="H50" s="13"/>
      <c r="I50" s="13"/>
      <c r="J50" s="13"/>
      <c r="K50" s="13"/>
      <c r="L50" s="13"/>
      <c r="M50" s="13"/>
      <c r="N50" s="13"/>
      <c r="O50" s="13"/>
    </row>
    <row r="51" spans="1:15" ht="20.25" hidden="1" x14ac:dyDescent="0.25">
      <c r="A51" s="27" t="s">
        <v>514</v>
      </c>
      <c r="B51" s="40" t="s">
        <v>100</v>
      </c>
      <c r="C51" s="950"/>
      <c r="D51" s="67">
        <v>29102</v>
      </c>
      <c r="E51" s="950"/>
      <c r="F51" s="13">
        <f t="shared" si="19"/>
        <v>0</v>
      </c>
      <c r="G51" s="13"/>
      <c r="H51" s="13"/>
      <c r="I51" s="13"/>
      <c r="J51" s="13"/>
      <c r="K51" s="13"/>
      <c r="L51" s="13"/>
      <c r="M51" s="13"/>
      <c r="N51" s="13"/>
      <c r="O51" s="13"/>
    </row>
    <row r="52" spans="1:15" ht="20.25" hidden="1" x14ac:dyDescent="0.25">
      <c r="A52" s="27" t="s">
        <v>542</v>
      </c>
      <c r="B52" s="40" t="s">
        <v>100</v>
      </c>
      <c r="C52" s="174" t="s">
        <v>52</v>
      </c>
      <c r="D52" s="67">
        <v>29104</v>
      </c>
      <c r="E52" s="174" t="s">
        <v>123</v>
      </c>
      <c r="F52" s="13">
        <f t="shared" si="19"/>
        <v>0</v>
      </c>
      <c r="G52" s="13"/>
      <c r="H52" s="13"/>
      <c r="I52" s="13"/>
      <c r="J52" s="13"/>
      <c r="K52" s="13"/>
      <c r="L52" s="13"/>
      <c r="M52" s="13"/>
      <c r="N52" s="13"/>
      <c r="O52" s="13"/>
    </row>
    <row r="53" spans="1:15" ht="26.25" hidden="1" x14ac:dyDescent="0.25">
      <c r="A53" s="58" t="s">
        <v>125</v>
      </c>
      <c r="B53" s="40" t="s">
        <v>100</v>
      </c>
      <c r="C53" s="174" t="s">
        <v>53</v>
      </c>
      <c r="D53" s="67">
        <v>29001</v>
      </c>
      <c r="E53" s="174" t="s">
        <v>127</v>
      </c>
      <c r="F53" s="13">
        <f t="shared" si="19"/>
        <v>0</v>
      </c>
      <c r="G53" s="13"/>
      <c r="H53" s="13"/>
      <c r="I53" s="13"/>
      <c r="J53" s="13"/>
      <c r="K53" s="13"/>
      <c r="L53" s="13"/>
      <c r="M53" s="13"/>
      <c r="N53" s="13"/>
      <c r="O53" s="13"/>
    </row>
    <row r="54" spans="1:15" ht="26.25" hidden="1" x14ac:dyDescent="0.25">
      <c r="A54" s="58" t="s">
        <v>126</v>
      </c>
      <c r="B54" s="40" t="s">
        <v>100</v>
      </c>
      <c r="C54" s="174" t="s">
        <v>53</v>
      </c>
      <c r="D54" s="67">
        <v>29001</v>
      </c>
      <c r="E54" s="174" t="s">
        <v>128</v>
      </c>
      <c r="F54" s="13">
        <f t="shared" si="19"/>
        <v>0</v>
      </c>
      <c r="G54" s="13"/>
      <c r="H54" s="13"/>
      <c r="I54" s="13"/>
      <c r="J54" s="13"/>
      <c r="K54" s="13"/>
      <c r="L54" s="13"/>
      <c r="M54" s="13"/>
      <c r="N54" s="13"/>
      <c r="O54" s="13"/>
    </row>
    <row r="55" spans="1:15" ht="26.25" hidden="1" x14ac:dyDescent="0.25">
      <c r="A55" s="59" t="s">
        <v>130</v>
      </c>
      <c r="B55" s="40" t="s">
        <v>100</v>
      </c>
      <c r="C55" s="174" t="s">
        <v>53</v>
      </c>
      <c r="D55" s="67">
        <v>29001</v>
      </c>
      <c r="E55" s="174" t="s">
        <v>129</v>
      </c>
      <c r="F55" s="13">
        <f t="shared" si="19"/>
        <v>0</v>
      </c>
      <c r="G55" s="13"/>
      <c r="H55" s="13"/>
      <c r="I55" s="13"/>
      <c r="J55" s="13"/>
      <c r="K55" s="13"/>
      <c r="L55" s="13"/>
      <c r="M55" s="13"/>
      <c r="N55" s="13"/>
      <c r="O55" s="13"/>
    </row>
    <row r="56" spans="1:15" ht="26.25" hidden="1" x14ac:dyDescent="0.25">
      <c r="A56" s="59" t="s">
        <v>130</v>
      </c>
      <c r="B56" s="40" t="s">
        <v>100</v>
      </c>
      <c r="C56" s="174" t="s">
        <v>53</v>
      </c>
      <c r="D56" s="67">
        <v>29099</v>
      </c>
      <c r="E56" s="174" t="s">
        <v>624</v>
      </c>
      <c r="F56" s="13">
        <f t="shared" si="19"/>
        <v>0</v>
      </c>
      <c r="G56" s="13"/>
      <c r="H56" s="13"/>
      <c r="I56" s="13"/>
      <c r="J56" s="13"/>
      <c r="K56" s="13"/>
      <c r="L56" s="13"/>
      <c r="M56" s="13"/>
      <c r="N56" s="13"/>
      <c r="O56" s="13"/>
    </row>
    <row r="57" spans="1:15" ht="20.25" hidden="1" x14ac:dyDescent="0.3">
      <c r="A57" s="872" t="s">
        <v>131</v>
      </c>
      <c r="B57" s="873"/>
      <c r="C57" s="873"/>
      <c r="D57" s="948">
        <v>300</v>
      </c>
      <c r="E57" s="948"/>
      <c r="F57" s="45">
        <f>F58+F63</f>
        <v>1927393</v>
      </c>
      <c r="G57" s="45">
        <f t="shared" ref="G57:O57" si="20">G58+G63</f>
        <v>289542</v>
      </c>
      <c r="H57" s="45">
        <f t="shared" si="20"/>
        <v>5909</v>
      </c>
      <c r="I57" s="45">
        <f t="shared" si="20"/>
        <v>1358339</v>
      </c>
      <c r="J57" s="45">
        <f t="shared" si="20"/>
        <v>0</v>
      </c>
      <c r="K57" s="45">
        <f t="shared" si="20"/>
        <v>27722</v>
      </c>
      <c r="L57" s="45">
        <f t="shared" si="20"/>
        <v>26803</v>
      </c>
      <c r="M57" s="45">
        <f t="shared" si="20"/>
        <v>547</v>
      </c>
      <c r="N57" s="45">
        <f t="shared" si="20"/>
        <v>71972</v>
      </c>
      <c r="O57" s="45">
        <f t="shared" si="20"/>
        <v>146559</v>
      </c>
    </row>
    <row r="58" spans="1:15" ht="20.25" hidden="1" x14ac:dyDescent="0.3">
      <c r="A58" s="862" t="s">
        <v>13</v>
      </c>
      <c r="B58" s="863"/>
      <c r="C58" s="863"/>
      <c r="D58" s="949">
        <v>310</v>
      </c>
      <c r="E58" s="949"/>
      <c r="F58" s="44">
        <f>SUM(G58:O58)</f>
        <v>0</v>
      </c>
      <c r="G58" s="44">
        <f>SUM(G59:G62)</f>
        <v>0</v>
      </c>
      <c r="H58" s="44">
        <f>SUM(H59:H62)</f>
        <v>0</v>
      </c>
      <c r="I58" s="44">
        <f>SUM(I59:I62)</f>
        <v>0</v>
      </c>
      <c r="J58" s="44">
        <f>SUM(J59:J62)</f>
        <v>0</v>
      </c>
      <c r="K58" s="44">
        <f>SUM(K59:K62)</f>
        <v>0</v>
      </c>
      <c r="L58" s="44">
        <f t="shared" ref="L58:M58" si="21">SUM(L59:L62)</f>
        <v>0</v>
      </c>
      <c r="M58" s="44">
        <f t="shared" si="21"/>
        <v>0</v>
      </c>
      <c r="N58" s="44">
        <f t="shared" ref="N58:O58" si="22">SUM(N59:N62)</f>
        <v>0</v>
      </c>
      <c r="O58" s="44">
        <f t="shared" si="22"/>
        <v>0</v>
      </c>
    </row>
    <row r="59" spans="1:15" ht="20.25" hidden="1" x14ac:dyDescent="0.25">
      <c r="A59" s="16" t="s">
        <v>132</v>
      </c>
      <c r="B59" s="40" t="s">
        <v>133</v>
      </c>
      <c r="C59" s="174" t="s">
        <v>49</v>
      </c>
      <c r="D59" s="67">
        <v>31003</v>
      </c>
      <c r="E59" s="174" t="s">
        <v>61</v>
      </c>
      <c r="F59" s="13">
        <f>SUM(G59:O59)</f>
        <v>0</v>
      </c>
      <c r="G59" s="13"/>
      <c r="H59" s="13"/>
      <c r="I59" s="13"/>
      <c r="J59" s="13"/>
      <c r="K59" s="13"/>
      <c r="L59" s="13"/>
      <c r="M59" s="13"/>
      <c r="N59" s="13"/>
      <c r="O59" s="13"/>
    </row>
    <row r="60" spans="1:15" ht="20.25" hidden="1" x14ac:dyDescent="0.25">
      <c r="A60" s="16" t="s">
        <v>6</v>
      </c>
      <c r="B60" s="40" t="s">
        <v>133</v>
      </c>
      <c r="C60" s="174" t="s">
        <v>49</v>
      </c>
      <c r="D60" s="67">
        <v>31004</v>
      </c>
      <c r="E60" s="174" t="s">
        <v>61</v>
      </c>
      <c r="F60" s="13">
        <f>SUM(G60:O60)</f>
        <v>0</v>
      </c>
      <c r="G60" s="13"/>
      <c r="H60" s="13"/>
      <c r="I60" s="13"/>
      <c r="J60" s="13"/>
      <c r="K60" s="13"/>
      <c r="L60" s="13"/>
      <c r="M60" s="13"/>
      <c r="N60" s="13"/>
      <c r="O60" s="13"/>
    </row>
    <row r="61" spans="1:15" ht="20.25" hidden="1" x14ac:dyDescent="0.25">
      <c r="A61" s="16" t="s">
        <v>7</v>
      </c>
      <c r="B61" s="40" t="s">
        <v>133</v>
      </c>
      <c r="C61" s="174" t="s">
        <v>49</v>
      </c>
      <c r="D61" s="67">
        <v>31005</v>
      </c>
      <c r="E61" s="174" t="s">
        <v>61</v>
      </c>
      <c r="F61" s="13">
        <f>SUM(G61:O61)</f>
        <v>0</v>
      </c>
      <c r="G61" s="13"/>
      <c r="H61" s="13"/>
      <c r="I61" s="13"/>
      <c r="J61" s="13"/>
      <c r="K61" s="13"/>
      <c r="L61" s="13"/>
      <c r="M61" s="13"/>
      <c r="N61" s="13"/>
      <c r="O61" s="13"/>
    </row>
    <row r="62" spans="1:15" ht="30.75" hidden="1" x14ac:dyDescent="0.25">
      <c r="A62" s="16" t="s">
        <v>8</v>
      </c>
      <c r="B62" s="40" t="s">
        <v>133</v>
      </c>
      <c r="C62" s="174" t="s">
        <v>49</v>
      </c>
      <c r="D62" s="67">
        <v>31099</v>
      </c>
      <c r="E62" s="174" t="s">
        <v>61</v>
      </c>
      <c r="F62" s="13">
        <f>SUM(G62:O62)</f>
        <v>0</v>
      </c>
      <c r="G62" s="13"/>
      <c r="H62" s="13"/>
      <c r="I62" s="13"/>
      <c r="J62" s="13"/>
      <c r="K62" s="13"/>
      <c r="L62" s="13"/>
      <c r="M62" s="13"/>
      <c r="N62" s="13"/>
      <c r="O62" s="13"/>
    </row>
    <row r="63" spans="1:15" ht="34.5" customHeight="1" x14ac:dyDescent="0.3">
      <c r="A63" s="862" t="s">
        <v>14</v>
      </c>
      <c r="B63" s="863"/>
      <c r="C63" s="863"/>
      <c r="D63" s="949">
        <v>340</v>
      </c>
      <c r="E63" s="949"/>
      <c r="F63" s="44">
        <f>F64+F65+F66+F67+F68+F69</f>
        <v>1927393</v>
      </c>
      <c r="G63" s="44">
        <f t="shared" ref="G63:O63" si="23">G64+G65+G66+G67+G68+G69</f>
        <v>289542</v>
      </c>
      <c r="H63" s="44">
        <f t="shared" si="23"/>
        <v>5909</v>
      </c>
      <c r="I63" s="44">
        <f t="shared" si="23"/>
        <v>1358339</v>
      </c>
      <c r="J63" s="44">
        <f t="shared" si="23"/>
        <v>0</v>
      </c>
      <c r="K63" s="44">
        <f t="shared" si="23"/>
        <v>27722</v>
      </c>
      <c r="L63" s="44">
        <f t="shared" si="23"/>
        <v>26803</v>
      </c>
      <c r="M63" s="44">
        <f t="shared" si="23"/>
        <v>547</v>
      </c>
      <c r="N63" s="44">
        <f t="shared" si="23"/>
        <v>71972</v>
      </c>
      <c r="O63" s="44">
        <f t="shared" si="23"/>
        <v>146559</v>
      </c>
    </row>
    <row r="64" spans="1:15" ht="34.5" customHeight="1" x14ac:dyDescent="0.25">
      <c r="A64" s="42" t="s">
        <v>3</v>
      </c>
      <c r="B64" s="40" t="s">
        <v>100</v>
      </c>
      <c r="C64" s="174" t="s">
        <v>49</v>
      </c>
      <c r="D64" s="67">
        <v>34001</v>
      </c>
      <c r="E64" s="174" t="s">
        <v>82</v>
      </c>
      <c r="F64" s="13">
        <f>SUM(G64:O64)</f>
        <v>0</v>
      </c>
      <c r="G64" s="13"/>
      <c r="H64" s="13"/>
      <c r="I64" s="13"/>
      <c r="J64" s="13"/>
      <c r="K64" s="13"/>
      <c r="L64" s="13"/>
      <c r="M64" s="13"/>
      <c r="N64" s="13"/>
      <c r="O64" s="13"/>
    </row>
    <row r="65" spans="1:15" ht="30.75" customHeight="1" x14ac:dyDescent="0.3">
      <c r="A65" s="168" t="s">
        <v>1</v>
      </c>
      <c r="B65" s="169" t="s">
        <v>100</v>
      </c>
      <c r="C65" s="170" t="s">
        <v>49</v>
      </c>
      <c r="D65" s="171">
        <v>34002</v>
      </c>
      <c r="E65" s="170" t="s">
        <v>83</v>
      </c>
      <c r="F65" s="316">
        <f>SUM(G65:O65)</f>
        <v>1927393</v>
      </c>
      <c r="G65" s="316">
        <f>289542</f>
        <v>289542</v>
      </c>
      <c r="H65" s="316">
        <f>5909</f>
        <v>5909</v>
      </c>
      <c r="I65" s="960">
        <f>855755+502584</f>
        <v>1358339</v>
      </c>
      <c r="J65" s="961"/>
      <c r="K65" s="316">
        <f>27722</f>
        <v>27722</v>
      </c>
      <c r="L65" s="316">
        <f>26803</f>
        <v>26803</v>
      </c>
      <c r="M65" s="316">
        <f>547</f>
        <v>547</v>
      </c>
      <c r="N65" s="154">
        <v>71972</v>
      </c>
      <c r="O65" s="154">
        <f>146559</f>
        <v>146559</v>
      </c>
    </row>
    <row r="66" spans="1:15" ht="22.5" customHeight="1" x14ac:dyDescent="0.25">
      <c r="A66" s="42" t="s">
        <v>134</v>
      </c>
      <c r="B66" s="40" t="s">
        <v>135</v>
      </c>
      <c r="C66" s="174" t="s">
        <v>49</v>
      </c>
      <c r="D66" s="67">
        <v>34002</v>
      </c>
      <c r="E66" s="174" t="s">
        <v>83</v>
      </c>
      <c r="F66" s="13">
        <f>SUM(G66:O66)</f>
        <v>0</v>
      </c>
      <c r="G66" s="13"/>
      <c r="H66" s="13"/>
      <c r="I66" s="13"/>
      <c r="J66" s="13"/>
      <c r="K66" s="13"/>
      <c r="L66" s="13"/>
      <c r="M66" s="13"/>
      <c r="N66" s="13"/>
      <c r="O66" s="13"/>
    </row>
    <row r="67" spans="1:15" ht="24.75" customHeight="1" x14ac:dyDescent="0.25">
      <c r="A67" s="42" t="s">
        <v>27</v>
      </c>
      <c r="B67" s="40" t="s">
        <v>100</v>
      </c>
      <c r="C67" s="174" t="s">
        <v>49</v>
      </c>
      <c r="D67" s="67">
        <v>34003</v>
      </c>
      <c r="E67" s="174" t="s">
        <v>84</v>
      </c>
      <c r="F67" s="13">
        <f>SUM(G67:O67)</f>
        <v>0</v>
      </c>
      <c r="G67" s="13"/>
      <c r="H67" s="13"/>
      <c r="I67" s="13"/>
      <c r="J67" s="13"/>
      <c r="K67" s="13"/>
      <c r="L67" s="13"/>
      <c r="M67" s="13"/>
      <c r="N67" s="13"/>
      <c r="O67" s="13"/>
    </row>
    <row r="68" spans="1:15" ht="30.75" customHeight="1" x14ac:dyDescent="0.25">
      <c r="A68" s="42" t="s">
        <v>28</v>
      </c>
      <c r="B68" s="40" t="s">
        <v>100</v>
      </c>
      <c r="C68" s="174" t="s">
        <v>49</v>
      </c>
      <c r="D68" s="67">
        <v>34004</v>
      </c>
      <c r="E68" s="174" t="s">
        <v>85</v>
      </c>
      <c r="F68" s="13">
        <f>SUM(G68:O68)</f>
        <v>0</v>
      </c>
      <c r="G68" s="13"/>
      <c r="H68" s="13"/>
      <c r="I68" s="13"/>
      <c r="J68" s="13"/>
      <c r="K68" s="13"/>
      <c r="L68" s="13"/>
      <c r="M68" s="13"/>
      <c r="N68" s="13"/>
      <c r="O68" s="13"/>
    </row>
    <row r="69" spans="1:15" ht="41.25" customHeight="1" x14ac:dyDescent="0.25">
      <c r="A69" s="951" t="s">
        <v>29</v>
      </c>
      <c r="B69" s="952"/>
      <c r="C69" s="952"/>
      <c r="D69" s="953">
        <v>34099</v>
      </c>
      <c r="E69" s="953"/>
      <c r="F69" s="32">
        <f>SUM(F70:F72)</f>
        <v>0</v>
      </c>
      <c r="G69" s="32">
        <f t="shared" ref="G69:O69" si="24">SUM(G70:G72)</f>
        <v>0</v>
      </c>
      <c r="H69" s="32">
        <f t="shared" si="24"/>
        <v>0</v>
      </c>
      <c r="I69" s="32">
        <f t="shared" si="24"/>
        <v>0</v>
      </c>
      <c r="J69" s="32">
        <f t="shared" si="24"/>
        <v>0</v>
      </c>
      <c r="K69" s="32">
        <f t="shared" si="24"/>
        <v>0</v>
      </c>
      <c r="L69" s="32">
        <f t="shared" si="24"/>
        <v>0</v>
      </c>
      <c r="M69" s="32">
        <f t="shared" si="24"/>
        <v>0</v>
      </c>
      <c r="N69" s="32">
        <f t="shared" si="24"/>
        <v>0</v>
      </c>
      <c r="O69" s="32">
        <f t="shared" si="24"/>
        <v>0</v>
      </c>
    </row>
    <row r="70" spans="1:15" ht="20.25" x14ac:dyDescent="0.25">
      <c r="A70" s="42" t="s">
        <v>136</v>
      </c>
      <c r="B70" s="40" t="s">
        <v>100</v>
      </c>
      <c r="C70" s="174" t="s">
        <v>49</v>
      </c>
      <c r="D70" s="67">
        <v>34099</v>
      </c>
      <c r="E70" s="174" t="s">
        <v>137</v>
      </c>
      <c r="F70" s="13">
        <f>SUM(G70:O70)</f>
        <v>0</v>
      </c>
      <c r="G70" s="13"/>
      <c r="H70" s="13"/>
      <c r="I70" s="13"/>
      <c r="J70" s="13"/>
      <c r="K70" s="13"/>
      <c r="L70" s="13"/>
      <c r="M70" s="13"/>
      <c r="N70" s="13"/>
      <c r="O70" s="13"/>
    </row>
    <row r="71" spans="1:15" ht="30.75" x14ac:dyDescent="0.25">
      <c r="A71" s="42" t="s">
        <v>138</v>
      </c>
      <c r="B71" s="40" t="s">
        <v>100</v>
      </c>
      <c r="C71" s="174" t="s">
        <v>49</v>
      </c>
      <c r="D71" s="67">
        <v>34099</v>
      </c>
      <c r="E71" s="174" t="s">
        <v>86</v>
      </c>
      <c r="F71" s="13">
        <f>SUM(G71:O71)</f>
        <v>0</v>
      </c>
      <c r="G71" s="13"/>
      <c r="H71" s="13"/>
      <c r="I71" s="13"/>
      <c r="J71" s="13"/>
      <c r="K71" s="13"/>
      <c r="L71" s="13"/>
      <c r="M71" s="13"/>
      <c r="N71" s="13"/>
      <c r="O71" s="13"/>
    </row>
    <row r="72" spans="1:15" ht="31.5" thickBot="1" x14ac:dyDescent="0.3">
      <c r="A72" s="60" t="s">
        <v>88</v>
      </c>
      <c r="B72" s="61" t="s">
        <v>100</v>
      </c>
      <c r="C72" s="126" t="s">
        <v>49</v>
      </c>
      <c r="D72" s="62">
        <v>34099</v>
      </c>
      <c r="E72" s="126" t="s">
        <v>87</v>
      </c>
      <c r="F72" s="15">
        <f>SUM(G72:O72)</f>
        <v>0</v>
      </c>
      <c r="G72" s="15"/>
      <c r="H72" s="15"/>
      <c r="I72" s="15"/>
      <c r="J72" s="15"/>
      <c r="K72" s="15"/>
      <c r="L72" s="15"/>
      <c r="M72" s="15"/>
      <c r="N72" s="15"/>
      <c r="O72" s="15"/>
    </row>
    <row r="73" spans="1:15" ht="23.25" thickBot="1" x14ac:dyDescent="0.35">
      <c r="A73" s="944" t="s">
        <v>498</v>
      </c>
      <c r="B73" s="945"/>
      <c r="C73" s="945"/>
      <c r="D73" s="945"/>
      <c r="E73" s="946"/>
      <c r="F73" s="172">
        <f>F21+F22+F23+F27+F35+F38+F39+F42+F57</f>
        <v>1927393</v>
      </c>
      <c r="G73" s="4"/>
      <c r="H73" s="4"/>
      <c r="I73" s="4"/>
      <c r="J73" s="4"/>
      <c r="K73" s="4"/>
      <c r="L73" s="4"/>
      <c r="M73" s="4"/>
      <c r="N73" s="4"/>
      <c r="O73" s="4"/>
    </row>
    <row r="74" spans="1:15" ht="15" x14ac:dyDescent="0.2">
      <c r="A74" s="5"/>
      <c r="B74" s="7"/>
      <c r="C74" s="7"/>
      <c r="D74" s="3"/>
      <c r="E74" s="3"/>
      <c r="F74" s="4"/>
      <c r="G74" s="4"/>
      <c r="H74" s="4"/>
      <c r="I74" s="4"/>
      <c r="J74" s="4"/>
      <c r="K74" s="4"/>
      <c r="L74" s="4"/>
      <c r="M74" s="4"/>
      <c r="N74" s="4"/>
      <c r="O74" s="4"/>
    </row>
    <row r="75" spans="1:15" s="12" customFormat="1" ht="18" x14ac:dyDescent="0.25">
      <c r="A75" s="21"/>
      <c r="B75" s="11"/>
      <c r="C75" s="10"/>
      <c r="D75" s="11"/>
      <c r="E75" s="11"/>
    </row>
    <row r="81" spans="14:14" x14ac:dyDescent="0.2">
      <c r="N81" t="s">
        <v>544</v>
      </c>
    </row>
  </sheetData>
  <mergeCells count="52">
    <mergeCell ref="A73:E73"/>
    <mergeCell ref="A58:C58"/>
    <mergeCell ref="D58:E58"/>
    <mergeCell ref="A63:C63"/>
    <mergeCell ref="D63:E63"/>
    <mergeCell ref="A69:C69"/>
    <mergeCell ref="D69:E69"/>
    <mergeCell ref="A49:C49"/>
    <mergeCell ref="D49:E49"/>
    <mergeCell ref="C50:C51"/>
    <mergeCell ref="E50:E51"/>
    <mergeCell ref="A57:C57"/>
    <mergeCell ref="D57:E57"/>
    <mergeCell ref="A34:C34"/>
    <mergeCell ref="D34:E34"/>
    <mergeCell ref="A43:C43"/>
    <mergeCell ref="D43:E43"/>
    <mergeCell ref="A45:C45"/>
    <mergeCell ref="D45:E45"/>
    <mergeCell ref="A20:C20"/>
    <mergeCell ref="D20:E20"/>
    <mergeCell ref="A23:C23"/>
    <mergeCell ref="D23:E23"/>
    <mergeCell ref="A27:C27"/>
    <mergeCell ref="D27:E27"/>
    <mergeCell ref="M8:M11"/>
    <mergeCell ref="A18:C18"/>
    <mergeCell ref="D18:E18"/>
    <mergeCell ref="G8:G11"/>
    <mergeCell ref="H8:H11"/>
    <mergeCell ref="I8:I11"/>
    <mergeCell ref="A12:F12"/>
    <mergeCell ref="A13:E13"/>
    <mergeCell ref="A14:C14"/>
    <mergeCell ref="D14:E14"/>
    <mergeCell ref="I12:K12"/>
    <mergeCell ref="I65:J65"/>
    <mergeCell ref="A1:B1"/>
    <mergeCell ref="D1:E1"/>
    <mergeCell ref="A2:O3"/>
    <mergeCell ref="A5:O6"/>
    <mergeCell ref="A8:A11"/>
    <mergeCell ref="B8:B11"/>
    <mergeCell ref="C8:C11"/>
    <mergeCell ref="D8:D11"/>
    <mergeCell ref="E8:E11"/>
    <mergeCell ref="F8:F11"/>
    <mergeCell ref="O8:O11"/>
    <mergeCell ref="J8:J11"/>
    <mergeCell ref="K8:K11"/>
    <mergeCell ref="N8:N11"/>
    <mergeCell ref="L8:L11"/>
  </mergeCells>
  <pageMargins left="0.70866141732283472" right="0.70866141732283472" top="0.74803149606299213" bottom="0.74803149606299213" header="0.31496062992125984" footer="0.31496062992125984"/>
  <pageSetup paperSize="9" scale="42"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60" zoomScaleNormal="53" workbookViewId="0">
      <selection activeCell="Q16" sqref="Q16"/>
    </sheetView>
  </sheetViews>
  <sheetFormatPr defaultRowHeight="12.75" x14ac:dyDescent="0.2"/>
  <cols>
    <col min="1" max="1" width="42.7109375" customWidth="1"/>
    <col min="2" max="2" width="9.7109375" customWidth="1"/>
    <col min="3" max="3" width="10.7109375" customWidth="1"/>
    <col min="4" max="4" width="9.5703125" customWidth="1"/>
    <col min="5" max="5" width="21.7109375" customWidth="1"/>
    <col min="6" max="6" width="18.7109375" hidden="1" customWidth="1"/>
    <col min="7" max="7" width="24.140625" customWidth="1"/>
    <col min="8" max="8" width="18.7109375" customWidth="1"/>
    <col min="9" max="9" width="20" customWidth="1"/>
    <col min="10" max="10" width="18.5703125" customWidth="1"/>
    <col min="11" max="11" width="20.42578125" customWidth="1"/>
    <col min="12" max="12" width="19.7109375" customWidth="1"/>
    <col min="13" max="13" width="22" customWidth="1"/>
    <col min="14" max="14" width="20.5703125" customWidth="1"/>
    <col min="15" max="15" width="21.42578125" customWidth="1"/>
    <col min="16" max="16" width="20.7109375" customWidth="1"/>
    <col min="17" max="17" width="21.7109375" customWidth="1"/>
  </cols>
  <sheetData>
    <row r="1" spans="1:17" s="2" customFormat="1" ht="18" x14ac:dyDescent="0.2">
      <c r="A1" s="101"/>
      <c r="B1" s="101"/>
      <c r="C1" s="841"/>
      <c r="D1" s="841"/>
      <c r="E1" s="8"/>
      <c r="F1" s="8"/>
      <c r="G1" s="8"/>
      <c r="H1" s="8"/>
      <c r="I1" s="8"/>
      <c r="J1" s="8"/>
      <c r="K1" s="8"/>
      <c r="L1" s="8"/>
      <c r="M1" s="8"/>
      <c r="N1" s="8"/>
      <c r="O1" s="8"/>
      <c r="P1" s="8"/>
      <c r="Q1" s="8"/>
    </row>
    <row r="2" spans="1:17" s="2" customFormat="1" ht="21" customHeight="1" x14ac:dyDescent="0.2">
      <c r="A2" s="846" t="s">
        <v>721</v>
      </c>
      <c r="B2" s="846"/>
      <c r="C2" s="846"/>
      <c r="D2" s="846"/>
      <c r="E2" s="846"/>
      <c r="F2" s="846"/>
      <c r="G2" s="846"/>
      <c r="H2" s="846"/>
      <c r="I2" s="846"/>
      <c r="J2" s="846"/>
      <c r="K2" s="846"/>
      <c r="L2" s="846"/>
      <c r="M2" s="846"/>
      <c r="N2" s="846"/>
      <c r="O2" s="846"/>
      <c r="P2" s="846"/>
      <c r="Q2" s="846"/>
    </row>
    <row r="3" spans="1:17" s="2" customFormat="1" ht="3" customHeight="1" x14ac:dyDescent="0.2">
      <c r="A3" s="846"/>
      <c r="B3" s="846"/>
      <c r="C3" s="846"/>
      <c r="D3" s="846"/>
      <c r="E3" s="846"/>
      <c r="F3" s="846"/>
      <c r="G3" s="846"/>
      <c r="H3" s="846"/>
      <c r="I3" s="846"/>
      <c r="J3" s="846"/>
      <c r="K3" s="846"/>
      <c r="L3" s="846"/>
      <c r="M3" s="846"/>
      <c r="N3" s="846"/>
      <c r="O3" s="846"/>
      <c r="P3" s="846"/>
      <c r="Q3" s="846"/>
    </row>
    <row r="4" spans="1:17" s="2" customFormat="1" ht="9.75" customHeight="1" x14ac:dyDescent="0.4">
      <c r="A4" s="28"/>
      <c r="B4" s="28"/>
      <c r="C4" s="28"/>
      <c r="D4" s="28"/>
      <c r="E4" s="28"/>
      <c r="F4" s="28"/>
      <c r="G4" s="28"/>
      <c r="H4" s="28"/>
      <c r="I4" s="28"/>
      <c r="J4" s="28"/>
      <c r="K4" s="28"/>
      <c r="L4" s="28"/>
      <c r="M4" s="28"/>
      <c r="N4" s="28"/>
      <c r="O4" s="28"/>
      <c r="P4" s="28"/>
      <c r="Q4" s="28"/>
    </row>
    <row r="5" spans="1:17" s="2" customFormat="1" ht="15.75" customHeight="1" x14ac:dyDescent="0.2">
      <c r="A5" s="847" t="s">
        <v>569</v>
      </c>
      <c r="B5" s="847"/>
      <c r="C5" s="847"/>
      <c r="D5" s="847"/>
      <c r="E5" s="847"/>
      <c r="F5" s="847"/>
      <c r="G5" s="847"/>
      <c r="H5" s="847"/>
      <c r="I5" s="847"/>
      <c r="J5" s="847"/>
      <c r="K5" s="847"/>
      <c r="L5" s="847"/>
      <c r="M5" s="847"/>
      <c r="N5" s="847"/>
      <c r="O5" s="847"/>
      <c r="P5" s="847"/>
      <c r="Q5" s="847"/>
    </row>
    <row r="6" spans="1:17" s="2" customFormat="1" ht="40.5" customHeight="1" x14ac:dyDescent="0.2">
      <c r="A6" s="847"/>
      <c r="B6" s="847"/>
      <c r="C6" s="847"/>
      <c r="D6" s="847"/>
      <c r="E6" s="847"/>
      <c r="F6" s="847"/>
      <c r="G6" s="847"/>
      <c r="H6" s="847"/>
      <c r="I6" s="847"/>
      <c r="J6" s="847"/>
      <c r="K6" s="847"/>
      <c r="L6" s="847"/>
      <c r="M6" s="847"/>
      <c r="N6" s="847"/>
      <c r="O6" s="847"/>
      <c r="P6" s="847"/>
      <c r="Q6" s="847"/>
    </row>
    <row r="7" spans="1:17" ht="29.25" customHeight="1" thickBot="1" x14ac:dyDescent="0.45">
      <c r="A7" s="25" t="s">
        <v>32</v>
      </c>
      <c r="B7" s="22"/>
      <c r="C7" s="23"/>
      <c r="D7" s="23"/>
      <c r="E7" s="24"/>
      <c r="F7" s="24"/>
      <c r="G7" s="24"/>
      <c r="H7" s="24"/>
      <c r="I7" s="24"/>
      <c r="J7" s="24"/>
      <c r="K7" s="23"/>
      <c r="L7" s="23"/>
      <c r="M7" s="23"/>
      <c r="N7" s="23"/>
      <c r="O7" s="23"/>
      <c r="P7" s="23"/>
      <c r="Q7" s="23"/>
    </row>
    <row r="8" spans="1:17" ht="58.5" customHeight="1" x14ac:dyDescent="0.2">
      <c r="A8" s="998" t="s">
        <v>10</v>
      </c>
      <c r="B8" s="1000" t="s">
        <v>89</v>
      </c>
      <c r="C8" s="1002" t="s">
        <v>11</v>
      </c>
      <c r="D8" s="1002" t="s">
        <v>62</v>
      </c>
      <c r="E8" s="1005" t="s">
        <v>161</v>
      </c>
      <c r="F8" s="1000" t="s">
        <v>164</v>
      </c>
      <c r="G8" s="1000" t="s">
        <v>165</v>
      </c>
      <c r="H8" s="1000" t="s">
        <v>166</v>
      </c>
      <c r="I8" s="1000" t="s">
        <v>488</v>
      </c>
      <c r="J8" s="1002" t="s">
        <v>80</v>
      </c>
      <c r="K8" s="1002"/>
      <c r="L8" s="1002"/>
      <c r="M8" s="1002"/>
      <c r="N8" s="1002"/>
      <c r="O8" s="1002"/>
      <c r="P8" s="1002"/>
      <c r="Q8" s="1008"/>
    </row>
    <row r="9" spans="1:17" ht="51.75" customHeight="1" x14ac:dyDescent="0.2">
      <c r="A9" s="999"/>
      <c r="B9" s="1001"/>
      <c r="C9" s="1003"/>
      <c r="D9" s="1003"/>
      <c r="E9" s="1006"/>
      <c r="F9" s="1001"/>
      <c r="G9" s="1001"/>
      <c r="H9" s="1001"/>
      <c r="I9" s="1001"/>
      <c r="J9" s="1001" t="s">
        <v>65</v>
      </c>
      <c r="K9" s="1001" t="s">
        <v>81</v>
      </c>
      <c r="L9" s="1001" t="s">
        <v>76</v>
      </c>
      <c r="M9" s="1001" t="s">
        <v>154</v>
      </c>
      <c r="N9" s="1001" t="s">
        <v>66</v>
      </c>
      <c r="O9" s="1001" t="s">
        <v>67</v>
      </c>
      <c r="P9" s="1001" t="s">
        <v>68</v>
      </c>
      <c r="Q9" s="1004" t="s">
        <v>720</v>
      </c>
    </row>
    <row r="10" spans="1:17" ht="34.5" customHeight="1" x14ac:dyDescent="0.2">
      <c r="A10" s="999"/>
      <c r="B10" s="1001"/>
      <c r="C10" s="1003"/>
      <c r="D10" s="1003"/>
      <c r="E10" s="1006"/>
      <c r="F10" s="1001"/>
      <c r="G10" s="1001"/>
      <c r="H10" s="1001"/>
      <c r="I10" s="1001"/>
      <c r="J10" s="1001"/>
      <c r="K10" s="1001"/>
      <c r="L10" s="1001"/>
      <c r="M10" s="1001"/>
      <c r="N10" s="1001"/>
      <c r="O10" s="1001"/>
      <c r="P10" s="1001"/>
      <c r="Q10" s="1004"/>
    </row>
    <row r="11" spans="1:17" ht="141" customHeight="1" x14ac:dyDescent="0.2">
      <c r="A11" s="999"/>
      <c r="B11" s="1001"/>
      <c r="C11" s="1003"/>
      <c r="D11" s="1003"/>
      <c r="E11" s="1006"/>
      <c r="F11" s="1001"/>
      <c r="G11" s="1001"/>
      <c r="H11" s="1001"/>
      <c r="I11" s="1001"/>
      <c r="J11" s="1001"/>
      <c r="K11" s="1001"/>
      <c r="L11" s="1001"/>
      <c r="M11" s="1001"/>
      <c r="N11" s="1001"/>
      <c r="O11" s="1001"/>
      <c r="P11" s="1001"/>
      <c r="Q11" s="1004"/>
    </row>
    <row r="12" spans="1:17" s="9" customFormat="1" ht="66.75" customHeight="1" x14ac:dyDescent="0.35">
      <c r="A12" s="1015" t="s">
        <v>38</v>
      </c>
      <c r="B12" s="1003"/>
      <c r="C12" s="1003"/>
      <c r="D12" s="1003"/>
      <c r="E12" s="1006"/>
      <c r="F12" s="69" t="s">
        <v>546</v>
      </c>
      <c r="G12" s="69" t="s">
        <v>149</v>
      </c>
      <c r="H12" s="69" t="s">
        <v>623</v>
      </c>
      <c r="I12" s="69" t="s">
        <v>148</v>
      </c>
      <c r="J12" s="69" t="s">
        <v>163</v>
      </c>
      <c r="K12" s="69" t="s">
        <v>151</v>
      </c>
      <c r="L12" s="69" t="s">
        <v>153</v>
      </c>
      <c r="M12" s="69" t="s">
        <v>159</v>
      </c>
      <c r="N12" s="69" t="s">
        <v>150</v>
      </c>
      <c r="O12" s="69" t="s">
        <v>156</v>
      </c>
      <c r="P12" s="69" t="s">
        <v>157</v>
      </c>
      <c r="Q12" s="70" t="s">
        <v>158</v>
      </c>
    </row>
    <row r="13" spans="1:17" s="9" customFormat="1" ht="30" customHeight="1" thickBot="1" x14ac:dyDescent="0.4">
      <c r="A13" s="1016" t="s">
        <v>35</v>
      </c>
      <c r="B13" s="1017"/>
      <c r="C13" s="1017"/>
      <c r="D13" s="1017"/>
      <c r="E13" s="1007"/>
      <c r="F13" s="73" t="s">
        <v>545</v>
      </c>
      <c r="G13" s="73" t="s">
        <v>44</v>
      </c>
      <c r="H13" s="73" t="s">
        <v>622</v>
      </c>
      <c r="I13" s="73" t="s">
        <v>43</v>
      </c>
      <c r="J13" s="71" t="s">
        <v>39</v>
      </c>
      <c r="K13" s="71" t="s">
        <v>152</v>
      </c>
      <c r="L13" s="71" t="s">
        <v>79</v>
      </c>
      <c r="M13" s="71" t="s">
        <v>155</v>
      </c>
      <c r="N13" s="71" t="s">
        <v>40</v>
      </c>
      <c r="O13" s="71" t="s">
        <v>41</v>
      </c>
      <c r="P13" s="71" t="s">
        <v>42</v>
      </c>
      <c r="Q13" s="72" t="s">
        <v>64</v>
      </c>
    </row>
    <row r="14" spans="1:17" s="9" customFormat="1" ht="30" customHeight="1" thickBot="1" x14ac:dyDescent="0.4">
      <c r="A14" s="1013" t="s">
        <v>162</v>
      </c>
      <c r="B14" s="1014"/>
      <c r="C14" s="1014"/>
      <c r="D14" s="1014"/>
      <c r="E14" s="80">
        <f>SUM(F14:Q14)</f>
        <v>750560</v>
      </c>
      <c r="F14" s="80">
        <f>F18+F20+F24+F26+F15</f>
        <v>0</v>
      </c>
      <c r="G14" s="80">
        <f t="shared" ref="G14:Q14" si="0">G18+G20+G24+G26+G15</f>
        <v>1100</v>
      </c>
      <c r="H14" s="80">
        <f t="shared" si="0"/>
        <v>28400</v>
      </c>
      <c r="I14" s="80">
        <f t="shared" si="0"/>
        <v>0</v>
      </c>
      <c r="J14" s="80">
        <f t="shared" si="0"/>
        <v>0</v>
      </c>
      <c r="K14" s="80">
        <f t="shared" si="0"/>
        <v>0</v>
      </c>
      <c r="L14" s="80">
        <f t="shared" si="0"/>
        <v>0</v>
      </c>
      <c r="M14" s="80">
        <f t="shared" si="0"/>
        <v>0</v>
      </c>
      <c r="N14" s="80">
        <f t="shared" si="0"/>
        <v>58000</v>
      </c>
      <c r="O14" s="80">
        <f t="shared" si="0"/>
        <v>0</v>
      </c>
      <c r="P14" s="80">
        <f t="shared" si="0"/>
        <v>0</v>
      </c>
      <c r="Q14" s="80">
        <f t="shared" si="0"/>
        <v>663060</v>
      </c>
    </row>
    <row r="15" spans="1:17" ht="61.5" customHeight="1" x14ac:dyDescent="0.3">
      <c r="A15" s="159" t="s">
        <v>94</v>
      </c>
      <c r="B15" s="159"/>
      <c r="C15" s="1009">
        <v>210</v>
      </c>
      <c r="D15" s="1009"/>
      <c r="E15" s="76">
        <f>SUM(E16:E17)</f>
        <v>28400</v>
      </c>
      <c r="F15" s="76">
        <f t="shared" ref="F15:Q15" si="1">SUM(F16:F17)</f>
        <v>0</v>
      </c>
      <c r="G15" s="76">
        <f t="shared" si="1"/>
        <v>0</v>
      </c>
      <c r="H15" s="76">
        <f t="shared" si="1"/>
        <v>28400</v>
      </c>
      <c r="I15" s="76">
        <f t="shared" si="1"/>
        <v>0</v>
      </c>
      <c r="J15" s="76">
        <f t="shared" si="1"/>
        <v>0</v>
      </c>
      <c r="K15" s="76">
        <f t="shared" si="1"/>
        <v>0</v>
      </c>
      <c r="L15" s="76">
        <f t="shared" si="1"/>
        <v>0</v>
      </c>
      <c r="M15" s="76">
        <f t="shared" si="1"/>
        <v>0</v>
      </c>
      <c r="N15" s="76">
        <f t="shared" si="1"/>
        <v>0</v>
      </c>
      <c r="O15" s="76">
        <f t="shared" si="1"/>
        <v>0</v>
      </c>
      <c r="P15" s="76">
        <f t="shared" si="1"/>
        <v>0</v>
      </c>
      <c r="Q15" s="76">
        <f t="shared" si="1"/>
        <v>0</v>
      </c>
    </row>
    <row r="16" spans="1:17" ht="49.5" customHeight="1" x14ac:dyDescent="0.25">
      <c r="A16" s="158" t="s">
        <v>16</v>
      </c>
      <c r="B16" s="187" t="s">
        <v>47</v>
      </c>
      <c r="C16" s="67">
        <v>21101</v>
      </c>
      <c r="D16" s="187" t="s">
        <v>90</v>
      </c>
      <c r="E16" s="13">
        <f t="shared" ref="E16:E17" si="2">SUM(F16:Q16)</f>
        <v>21812.59</v>
      </c>
      <c r="F16" s="13"/>
      <c r="G16" s="13"/>
      <c r="H16" s="13">
        <f>21812.59</f>
        <v>21812.59</v>
      </c>
      <c r="I16" s="13"/>
      <c r="J16" s="13"/>
      <c r="K16" s="13"/>
      <c r="L16" s="13"/>
      <c r="M16" s="13"/>
      <c r="N16" s="13"/>
      <c r="O16" s="13"/>
      <c r="P16" s="13"/>
      <c r="Q16" s="18"/>
    </row>
    <row r="17" spans="1:17" ht="35.25" customHeight="1" x14ac:dyDescent="0.25">
      <c r="A17" s="157" t="s">
        <v>17</v>
      </c>
      <c r="B17" s="187" t="s">
        <v>48</v>
      </c>
      <c r="C17" s="67">
        <v>21300</v>
      </c>
      <c r="D17" s="187" t="s">
        <v>18</v>
      </c>
      <c r="E17" s="13">
        <f t="shared" si="2"/>
        <v>6587.41</v>
      </c>
      <c r="F17" s="13"/>
      <c r="G17" s="13"/>
      <c r="H17" s="13">
        <f>6587.41</f>
        <v>6587.41</v>
      </c>
      <c r="I17" s="13"/>
      <c r="J17" s="13"/>
      <c r="K17" s="13"/>
      <c r="L17" s="13"/>
      <c r="M17" s="13"/>
      <c r="N17" s="13"/>
      <c r="O17" s="13"/>
      <c r="P17" s="13"/>
      <c r="Q17" s="18"/>
    </row>
    <row r="18" spans="1:17" ht="29.25" customHeight="1" x14ac:dyDescent="0.3">
      <c r="A18" s="1036" t="s">
        <v>12</v>
      </c>
      <c r="B18" s="1037"/>
      <c r="C18" s="1038">
        <v>214</v>
      </c>
      <c r="D18" s="1038"/>
      <c r="E18" s="74">
        <f>E19</f>
        <v>663060</v>
      </c>
      <c r="F18" s="74">
        <f t="shared" ref="F18:Q18" si="3">F19</f>
        <v>0</v>
      </c>
      <c r="G18" s="74">
        <f t="shared" si="3"/>
        <v>0</v>
      </c>
      <c r="H18" s="74">
        <f t="shared" si="3"/>
        <v>0</v>
      </c>
      <c r="I18" s="74">
        <f t="shared" si="3"/>
        <v>0</v>
      </c>
      <c r="J18" s="74">
        <f t="shared" si="3"/>
        <v>0</v>
      </c>
      <c r="K18" s="74">
        <f t="shared" si="3"/>
        <v>0</v>
      </c>
      <c r="L18" s="74">
        <f t="shared" si="3"/>
        <v>0</v>
      </c>
      <c r="M18" s="74">
        <f t="shared" si="3"/>
        <v>0</v>
      </c>
      <c r="N18" s="74">
        <f t="shared" si="3"/>
        <v>0</v>
      </c>
      <c r="O18" s="74">
        <f t="shared" si="3"/>
        <v>0</v>
      </c>
      <c r="P18" s="74">
        <f t="shared" si="3"/>
        <v>0</v>
      </c>
      <c r="Q18" s="75">
        <f t="shared" si="3"/>
        <v>663060</v>
      </c>
    </row>
    <row r="19" spans="1:17" ht="34.5" customHeight="1" x14ac:dyDescent="0.3">
      <c r="A19" s="68" t="s">
        <v>160</v>
      </c>
      <c r="B19" s="38">
        <v>112</v>
      </c>
      <c r="C19" s="41">
        <v>21400</v>
      </c>
      <c r="D19" s="125" t="s">
        <v>491</v>
      </c>
      <c r="E19" s="13">
        <f>SUM(F19:Q19)</f>
        <v>663060</v>
      </c>
      <c r="F19" s="13"/>
      <c r="G19" s="13"/>
      <c r="H19" s="13"/>
      <c r="I19" s="13"/>
      <c r="J19" s="13"/>
      <c r="K19" s="13"/>
      <c r="L19" s="13"/>
      <c r="M19" s="13"/>
      <c r="N19" s="13"/>
      <c r="O19" s="14"/>
      <c r="P19" s="14"/>
      <c r="Q19" s="18">
        <f>663060</f>
        <v>663060</v>
      </c>
    </row>
    <row r="20" spans="1:17" ht="36" customHeight="1" x14ac:dyDescent="0.3">
      <c r="A20" s="995" t="s">
        <v>103</v>
      </c>
      <c r="B20" s="996"/>
      <c r="C20" s="1010">
        <v>225</v>
      </c>
      <c r="D20" s="1010"/>
      <c r="E20" s="76">
        <f>SUM(E21:E23)</f>
        <v>0</v>
      </c>
      <c r="F20" s="76">
        <f>SUM(F21:F23)</f>
        <v>0</v>
      </c>
      <c r="G20" s="76">
        <f>SUM(G21:G23)</f>
        <v>0</v>
      </c>
      <c r="H20" s="76">
        <f t="shared" ref="H20:I20" si="4">SUM(H21:H23)</f>
        <v>0</v>
      </c>
      <c r="I20" s="76">
        <f t="shared" si="4"/>
        <v>0</v>
      </c>
      <c r="J20" s="76">
        <f>SUM(J21:J23)</f>
        <v>0</v>
      </c>
      <c r="K20" s="76">
        <f>SUM(K21:K23)</f>
        <v>0</v>
      </c>
      <c r="L20" s="76">
        <f t="shared" ref="L20:Q20" si="5">SUM(L21:L23)</f>
        <v>0</v>
      </c>
      <c r="M20" s="76">
        <f t="shared" si="5"/>
        <v>0</v>
      </c>
      <c r="N20" s="76">
        <f t="shared" si="5"/>
        <v>0</v>
      </c>
      <c r="O20" s="76">
        <f t="shared" si="5"/>
        <v>0</v>
      </c>
      <c r="P20" s="76">
        <f t="shared" si="5"/>
        <v>0</v>
      </c>
      <c r="Q20" s="77">
        <f t="shared" si="5"/>
        <v>0</v>
      </c>
    </row>
    <row r="21" spans="1:17" ht="25.5" hidden="1" customHeight="1" x14ac:dyDescent="0.25">
      <c r="A21" s="42" t="s">
        <v>55</v>
      </c>
      <c r="B21" s="125" t="s">
        <v>63</v>
      </c>
      <c r="C21" s="67">
        <v>22505</v>
      </c>
      <c r="D21" s="125" t="s">
        <v>104</v>
      </c>
      <c r="E21" s="13">
        <f t="shared" ref="E21:E25" si="6">SUM(F21:Q21)</f>
        <v>0</v>
      </c>
      <c r="F21" s="13"/>
      <c r="G21" s="13"/>
      <c r="H21" s="13"/>
      <c r="I21" s="13"/>
      <c r="J21" s="13"/>
      <c r="K21" s="13"/>
      <c r="L21" s="13"/>
      <c r="M21" s="13"/>
      <c r="N21" s="13"/>
      <c r="O21" s="13"/>
      <c r="P21" s="13"/>
      <c r="Q21" s="18"/>
    </row>
    <row r="22" spans="1:17" ht="25.5" hidden="1" customHeight="1" x14ac:dyDescent="0.25">
      <c r="A22" s="42" t="s">
        <v>55</v>
      </c>
      <c r="B22" s="125" t="s">
        <v>49</v>
      </c>
      <c r="C22" s="67">
        <v>22505</v>
      </c>
      <c r="D22" s="125" t="s">
        <v>104</v>
      </c>
      <c r="E22" s="13">
        <f t="shared" si="6"/>
        <v>0</v>
      </c>
      <c r="F22" s="13"/>
      <c r="G22" s="13"/>
      <c r="H22" s="13"/>
      <c r="I22" s="13"/>
      <c r="J22" s="13"/>
      <c r="K22" s="13"/>
      <c r="L22" s="13"/>
      <c r="M22" s="13"/>
      <c r="N22" s="13"/>
      <c r="O22" s="13"/>
      <c r="P22" s="13"/>
      <c r="Q22" s="18"/>
    </row>
    <row r="23" spans="1:17" ht="34.5" hidden="1" customHeight="1" x14ac:dyDescent="0.25">
      <c r="A23" s="42" t="s">
        <v>22</v>
      </c>
      <c r="B23" s="125" t="s">
        <v>49</v>
      </c>
      <c r="C23" s="67">
        <v>22599</v>
      </c>
      <c r="D23" s="125" t="s">
        <v>104</v>
      </c>
      <c r="E23" s="13">
        <f t="shared" si="6"/>
        <v>0</v>
      </c>
      <c r="F23" s="13"/>
      <c r="G23" s="13"/>
      <c r="H23" s="13"/>
      <c r="I23" s="13"/>
      <c r="J23" s="13"/>
      <c r="K23" s="13"/>
      <c r="L23" s="13"/>
      <c r="M23" s="13"/>
      <c r="N23" s="13"/>
      <c r="O23" s="13"/>
      <c r="P23" s="13"/>
      <c r="Q23" s="18"/>
    </row>
    <row r="24" spans="1:17" ht="28.5" hidden="1" customHeight="1" x14ac:dyDescent="0.3">
      <c r="A24" s="995" t="s">
        <v>109</v>
      </c>
      <c r="B24" s="996"/>
      <c r="C24" s="1010">
        <v>226</v>
      </c>
      <c r="D24" s="1010"/>
      <c r="E24" s="78">
        <f>SUM(J24:P24)</f>
        <v>0</v>
      </c>
      <c r="F24" s="78">
        <f>SUM(J24:P24)</f>
        <v>0</v>
      </c>
      <c r="G24" s="78">
        <f>SUM(K24:Q24)</f>
        <v>0</v>
      </c>
      <c r="H24" s="78">
        <f t="shared" ref="H24:I24" si="7">SUM(L24:R24)</f>
        <v>0</v>
      </c>
      <c r="I24" s="78">
        <f t="shared" si="7"/>
        <v>0</v>
      </c>
      <c r="J24" s="78">
        <f>SUM(K24:Q24)</f>
        <v>0</v>
      </c>
      <c r="K24" s="78">
        <f t="shared" ref="K24:Q24" si="8">SUM(K25:K25)</f>
        <v>0</v>
      </c>
      <c r="L24" s="78">
        <f t="shared" si="8"/>
        <v>0</v>
      </c>
      <c r="M24" s="78">
        <f t="shared" si="8"/>
        <v>0</v>
      </c>
      <c r="N24" s="78">
        <f t="shared" si="8"/>
        <v>0</v>
      </c>
      <c r="O24" s="78">
        <f t="shared" si="8"/>
        <v>0</v>
      </c>
      <c r="P24" s="78">
        <f t="shared" si="8"/>
        <v>0</v>
      </c>
      <c r="Q24" s="79">
        <f t="shared" si="8"/>
        <v>0</v>
      </c>
    </row>
    <row r="25" spans="1:17" ht="32.25" hidden="1" customHeight="1" x14ac:dyDescent="0.25">
      <c r="A25" s="42" t="s">
        <v>25</v>
      </c>
      <c r="B25" s="125" t="s">
        <v>49</v>
      </c>
      <c r="C25" s="67">
        <v>22699</v>
      </c>
      <c r="D25" s="125" t="s">
        <v>110</v>
      </c>
      <c r="E25" s="13">
        <f t="shared" si="6"/>
        <v>0</v>
      </c>
      <c r="F25" s="13"/>
      <c r="G25" s="13"/>
      <c r="H25" s="13"/>
      <c r="I25" s="13"/>
      <c r="J25" s="13"/>
      <c r="K25" s="13"/>
      <c r="L25" s="13"/>
      <c r="M25" s="13"/>
      <c r="N25" s="13"/>
      <c r="O25" s="13"/>
      <c r="P25" s="13"/>
      <c r="Q25" s="18"/>
    </row>
    <row r="26" spans="1:17" ht="41.25" customHeight="1" x14ac:dyDescent="0.3">
      <c r="A26" s="995" t="s">
        <v>131</v>
      </c>
      <c r="B26" s="996"/>
      <c r="C26" s="997">
        <v>300</v>
      </c>
      <c r="D26" s="997"/>
      <c r="E26" s="78">
        <f>E27+E32</f>
        <v>59100</v>
      </c>
      <c r="F26" s="78">
        <f>F27+F32</f>
        <v>0</v>
      </c>
      <c r="G26" s="78">
        <f>G27+G32</f>
        <v>1100</v>
      </c>
      <c r="H26" s="78">
        <f t="shared" ref="H26:I26" si="9">H27+H32</f>
        <v>0</v>
      </c>
      <c r="I26" s="78">
        <f t="shared" si="9"/>
        <v>0</v>
      </c>
      <c r="J26" s="78">
        <f>J27+J32</f>
        <v>0</v>
      </c>
      <c r="K26" s="78">
        <f>K27+K32</f>
        <v>0</v>
      </c>
      <c r="L26" s="78">
        <f t="shared" ref="L26:Q26" si="10">L27+L32</f>
        <v>0</v>
      </c>
      <c r="M26" s="78">
        <f>M27+M32</f>
        <v>0</v>
      </c>
      <c r="N26" s="78">
        <f>N27+N32</f>
        <v>58000</v>
      </c>
      <c r="O26" s="78">
        <f t="shared" si="10"/>
        <v>0</v>
      </c>
      <c r="P26" s="78">
        <f t="shared" si="10"/>
        <v>0</v>
      </c>
      <c r="Q26" s="79">
        <f t="shared" si="10"/>
        <v>0</v>
      </c>
    </row>
    <row r="27" spans="1:17" ht="35.25" customHeight="1" x14ac:dyDescent="0.3">
      <c r="A27" s="862" t="s">
        <v>13</v>
      </c>
      <c r="B27" s="863"/>
      <c r="C27" s="949">
        <v>310</v>
      </c>
      <c r="D27" s="949"/>
      <c r="E27" s="44">
        <f>SUM(F27:Q27)</f>
        <v>58000</v>
      </c>
      <c r="F27" s="44">
        <f>SUM(F28:F31)</f>
        <v>0</v>
      </c>
      <c r="G27" s="44">
        <f>SUM(G28:G31)</f>
        <v>0</v>
      </c>
      <c r="H27" s="44">
        <f t="shared" ref="H27:Q27" si="11">SUM(H28:H31)</f>
        <v>0</v>
      </c>
      <c r="I27" s="44">
        <f t="shared" si="11"/>
        <v>0</v>
      </c>
      <c r="J27" s="44">
        <f t="shared" si="11"/>
        <v>0</v>
      </c>
      <c r="K27" s="44">
        <f t="shared" si="11"/>
        <v>0</v>
      </c>
      <c r="L27" s="44">
        <f t="shared" si="11"/>
        <v>0</v>
      </c>
      <c r="M27" s="44">
        <f t="shared" si="11"/>
        <v>0</v>
      </c>
      <c r="N27" s="44">
        <f t="shared" si="11"/>
        <v>58000</v>
      </c>
      <c r="O27" s="44">
        <f t="shared" si="11"/>
        <v>0</v>
      </c>
      <c r="P27" s="44">
        <f t="shared" si="11"/>
        <v>0</v>
      </c>
      <c r="Q27" s="50">
        <f t="shared" si="11"/>
        <v>0</v>
      </c>
    </row>
    <row r="28" spans="1:17" ht="27.75" hidden="1" customHeight="1" x14ac:dyDescent="0.25">
      <c r="A28" s="16" t="s">
        <v>132</v>
      </c>
      <c r="B28" s="125" t="s">
        <v>49</v>
      </c>
      <c r="C28" s="67">
        <v>31003</v>
      </c>
      <c r="D28" s="125" t="s">
        <v>61</v>
      </c>
      <c r="E28" s="13">
        <f t="shared" ref="E28:E37" si="12">SUM(F28:Q28)</f>
        <v>0</v>
      </c>
      <c r="F28" s="13"/>
      <c r="G28" s="13"/>
      <c r="H28" s="13"/>
      <c r="I28" s="13"/>
      <c r="J28" s="13"/>
      <c r="K28" s="13"/>
      <c r="L28" s="13"/>
      <c r="M28" s="13"/>
      <c r="N28" s="13"/>
      <c r="O28" s="13"/>
      <c r="P28" s="13"/>
      <c r="Q28" s="18"/>
    </row>
    <row r="29" spans="1:17" ht="25.5" hidden="1" customHeight="1" x14ac:dyDescent="0.25">
      <c r="A29" s="16" t="s">
        <v>6</v>
      </c>
      <c r="B29" s="125" t="s">
        <v>49</v>
      </c>
      <c r="C29" s="67">
        <v>31004</v>
      </c>
      <c r="D29" s="125" t="s">
        <v>61</v>
      </c>
      <c r="E29" s="13">
        <f t="shared" si="12"/>
        <v>0</v>
      </c>
      <c r="F29" s="13"/>
      <c r="G29" s="13"/>
      <c r="H29" s="13"/>
      <c r="I29" s="13"/>
      <c r="J29" s="13"/>
      <c r="K29" s="13"/>
      <c r="L29" s="13"/>
      <c r="M29" s="13"/>
      <c r="N29" s="13"/>
      <c r="O29" s="13"/>
      <c r="P29" s="13"/>
      <c r="Q29" s="18"/>
    </row>
    <row r="30" spans="1:17" ht="28.5" hidden="1" customHeight="1" x14ac:dyDescent="0.25">
      <c r="A30" s="16" t="s">
        <v>7</v>
      </c>
      <c r="B30" s="125" t="s">
        <v>49</v>
      </c>
      <c r="C30" s="67">
        <v>31005</v>
      </c>
      <c r="D30" s="125" t="s">
        <v>61</v>
      </c>
      <c r="E30" s="13">
        <f t="shared" si="12"/>
        <v>0</v>
      </c>
      <c r="F30" s="13"/>
      <c r="G30" s="13"/>
      <c r="H30" s="13"/>
      <c r="I30" s="13"/>
      <c r="J30" s="13"/>
      <c r="K30" s="13"/>
      <c r="L30" s="13"/>
      <c r="M30" s="13"/>
      <c r="N30" s="13"/>
      <c r="O30" s="13"/>
      <c r="P30" s="13"/>
      <c r="Q30" s="18"/>
    </row>
    <row r="31" spans="1:17" ht="36.75" customHeight="1" x14ac:dyDescent="0.25">
      <c r="A31" s="16" t="s">
        <v>8</v>
      </c>
      <c r="B31" s="125" t="s">
        <v>49</v>
      </c>
      <c r="C31" s="67">
        <v>31099</v>
      </c>
      <c r="D31" s="125" t="s">
        <v>61</v>
      </c>
      <c r="E31" s="13">
        <f t="shared" si="12"/>
        <v>58000</v>
      </c>
      <c r="F31" s="13"/>
      <c r="G31" s="13"/>
      <c r="H31" s="13"/>
      <c r="I31" s="13"/>
      <c r="J31" s="13"/>
      <c r="K31" s="13"/>
      <c r="L31" s="13"/>
      <c r="M31" s="13"/>
      <c r="N31" s="13">
        <f>58000</f>
        <v>58000</v>
      </c>
      <c r="O31" s="13"/>
      <c r="P31" s="13"/>
      <c r="Q31" s="18"/>
    </row>
    <row r="32" spans="1:17" ht="39.75" customHeight="1" x14ac:dyDescent="0.3">
      <c r="A32" s="862" t="s">
        <v>14</v>
      </c>
      <c r="B32" s="863"/>
      <c r="C32" s="949">
        <v>340</v>
      </c>
      <c r="D32" s="949"/>
      <c r="E32" s="44">
        <f>SUM(F32:Q32)</f>
        <v>1100</v>
      </c>
      <c r="F32" s="44">
        <f>F33+F34</f>
        <v>0</v>
      </c>
      <c r="G32" s="44">
        <f>G33+G34</f>
        <v>1100</v>
      </c>
      <c r="H32" s="44">
        <f>H33+H34</f>
        <v>0</v>
      </c>
      <c r="I32" s="44">
        <f>I33+I34</f>
        <v>0</v>
      </c>
      <c r="J32" s="44">
        <f t="shared" ref="J32:Q32" si="13">J33+J34</f>
        <v>0</v>
      </c>
      <c r="K32" s="44">
        <f t="shared" si="13"/>
        <v>0</v>
      </c>
      <c r="L32" s="44">
        <f t="shared" si="13"/>
        <v>0</v>
      </c>
      <c r="M32" s="44">
        <f t="shared" si="13"/>
        <v>0</v>
      </c>
      <c r="N32" s="44">
        <f t="shared" si="13"/>
        <v>0</v>
      </c>
      <c r="O32" s="44">
        <f t="shared" si="13"/>
        <v>0</v>
      </c>
      <c r="P32" s="44">
        <f t="shared" si="13"/>
        <v>0</v>
      </c>
      <c r="Q32" s="50">
        <f t="shared" si="13"/>
        <v>0</v>
      </c>
    </row>
    <row r="33" spans="1:17" ht="24" customHeight="1" x14ac:dyDescent="0.25">
      <c r="A33" s="42" t="s">
        <v>28</v>
      </c>
      <c r="B33" s="125" t="s">
        <v>49</v>
      </c>
      <c r="C33" s="67">
        <v>34004</v>
      </c>
      <c r="D33" s="125" t="s">
        <v>85</v>
      </c>
      <c r="E33" s="13">
        <f t="shared" si="12"/>
        <v>0</v>
      </c>
      <c r="F33" s="13"/>
      <c r="G33" s="13"/>
      <c r="H33" s="13"/>
      <c r="I33" s="13"/>
      <c r="J33" s="13"/>
      <c r="K33" s="13"/>
      <c r="L33" s="13"/>
      <c r="M33" s="13"/>
      <c r="N33" s="13"/>
      <c r="O33" s="13"/>
      <c r="P33" s="13"/>
      <c r="Q33" s="18"/>
    </row>
    <row r="34" spans="1:17" ht="31.5" customHeight="1" x14ac:dyDescent="0.25">
      <c r="A34" s="951" t="s">
        <v>29</v>
      </c>
      <c r="B34" s="952"/>
      <c r="C34" s="953">
        <v>34099</v>
      </c>
      <c r="D34" s="953"/>
      <c r="E34" s="32">
        <f>SUM(E35:E37)</f>
        <v>1100</v>
      </c>
      <c r="F34" s="32">
        <f>SUM(F35:F37)</f>
        <v>0</v>
      </c>
      <c r="G34" s="32">
        <f>SUM(G35:G37)</f>
        <v>1100</v>
      </c>
      <c r="H34" s="32">
        <f t="shared" ref="H34:I34" si="14">SUM(H35:H37)</f>
        <v>0</v>
      </c>
      <c r="I34" s="32">
        <f t="shared" si="14"/>
        <v>0</v>
      </c>
      <c r="J34" s="32">
        <f>SUM(J35:J37)</f>
        <v>0</v>
      </c>
      <c r="K34" s="32">
        <f>SUM(K35:K37)</f>
        <v>0</v>
      </c>
      <c r="L34" s="32">
        <f t="shared" ref="L34:Q34" si="15">SUM(L35:L37)</f>
        <v>0</v>
      </c>
      <c r="M34" s="32">
        <f t="shared" si="15"/>
        <v>0</v>
      </c>
      <c r="N34" s="32">
        <f t="shared" si="15"/>
        <v>0</v>
      </c>
      <c r="O34" s="32">
        <f t="shared" si="15"/>
        <v>0</v>
      </c>
      <c r="P34" s="32">
        <f t="shared" si="15"/>
        <v>0</v>
      </c>
      <c r="Q34" s="55">
        <f t="shared" si="15"/>
        <v>0</v>
      </c>
    </row>
    <row r="35" spans="1:17" ht="24" hidden="1" customHeight="1" x14ac:dyDescent="0.25">
      <c r="A35" s="42" t="s">
        <v>136</v>
      </c>
      <c r="B35" s="125" t="s">
        <v>49</v>
      </c>
      <c r="C35" s="67">
        <v>34099</v>
      </c>
      <c r="D35" s="125" t="s">
        <v>137</v>
      </c>
      <c r="E35" s="13">
        <f t="shared" si="12"/>
        <v>0</v>
      </c>
      <c r="F35" s="13"/>
      <c r="G35" s="13"/>
      <c r="H35" s="13"/>
      <c r="I35" s="13"/>
      <c r="J35" s="13"/>
      <c r="K35" s="13"/>
      <c r="L35" s="13"/>
      <c r="M35" s="13"/>
      <c r="N35" s="13"/>
      <c r="O35" s="13"/>
      <c r="P35" s="13"/>
      <c r="Q35" s="18"/>
    </row>
    <row r="36" spans="1:17" ht="30" customHeight="1" thickBot="1" x14ac:dyDescent="0.3">
      <c r="A36" s="42" t="s">
        <v>138</v>
      </c>
      <c r="B36" s="125" t="s">
        <v>49</v>
      </c>
      <c r="C36" s="67">
        <v>34099</v>
      </c>
      <c r="D36" s="125" t="s">
        <v>86</v>
      </c>
      <c r="E36" s="13">
        <f t="shared" si="12"/>
        <v>1100</v>
      </c>
      <c r="F36" s="13"/>
      <c r="G36" s="13">
        <f>1100</f>
        <v>1100</v>
      </c>
      <c r="H36" s="13"/>
      <c r="I36" s="13"/>
      <c r="J36" s="13"/>
      <c r="K36" s="13"/>
      <c r="L36" s="13"/>
      <c r="M36" s="13"/>
      <c r="N36" s="13"/>
      <c r="O36" s="13"/>
      <c r="P36" s="13"/>
      <c r="Q36" s="18"/>
    </row>
    <row r="37" spans="1:17" ht="32.25" hidden="1" customHeight="1" thickBot="1" x14ac:dyDescent="0.3">
      <c r="A37" s="60" t="s">
        <v>88</v>
      </c>
      <c r="B37" s="126" t="s">
        <v>49</v>
      </c>
      <c r="C37" s="62">
        <v>34099</v>
      </c>
      <c r="D37" s="126" t="s">
        <v>87</v>
      </c>
      <c r="E37" s="15">
        <f t="shared" si="12"/>
        <v>0</v>
      </c>
      <c r="F37" s="15"/>
      <c r="G37" s="15"/>
      <c r="H37" s="15"/>
      <c r="I37" s="15"/>
      <c r="J37" s="15"/>
      <c r="K37" s="15"/>
      <c r="L37" s="15"/>
      <c r="M37" s="15"/>
      <c r="N37" s="15"/>
      <c r="O37" s="15"/>
      <c r="P37" s="15"/>
      <c r="Q37" s="19"/>
    </row>
    <row r="38" spans="1:17" ht="33" customHeight="1" thickBot="1" x14ac:dyDescent="0.35">
      <c r="A38" s="148" t="s">
        <v>498</v>
      </c>
      <c r="B38" s="149"/>
      <c r="C38" s="149"/>
      <c r="D38" s="150"/>
      <c r="E38" s="151">
        <f>E20+E24+E26</f>
        <v>59100</v>
      </c>
      <c r="F38" s="152"/>
      <c r="G38" s="4"/>
      <c r="H38" s="4"/>
      <c r="I38" s="4"/>
      <c r="J38" s="4"/>
      <c r="K38" s="4"/>
      <c r="L38" s="4"/>
      <c r="M38" s="4"/>
      <c r="N38" s="4"/>
      <c r="O38" s="4"/>
      <c r="P38" s="4"/>
      <c r="Q38" s="4"/>
    </row>
    <row r="39" spans="1:17" ht="8.25" customHeight="1" x14ac:dyDescent="0.2">
      <c r="A39" s="5"/>
      <c r="B39" s="7"/>
      <c r="C39" s="3"/>
      <c r="D39" s="3"/>
      <c r="E39" s="4"/>
      <c r="F39" s="4"/>
      <c r="G39" s="4"/>
      <c r="H39" s="4"/>
      <c r="I39" s="4"/>
      <c r="J39" s="4"/>
      <c r="K39" s="4"/>
      <c r="L39" s="4"/>
      <c r="M39" s="4"/>
      <c r="N39" s="4"/>
      <c r="O39" s="4"/>
      <c r="P39" s="4"/>
      <c r="Q39" s="4"/>
    </row>
    <row r="40" spans="1:17" s="12" customFormat="1" ht="15.75" customHeight="1" x14ac:dyDescent="0.25">
      <c r="A40" s="21"/>
      <c r="B40" s="10"/>
      <c r="C40" s="11"/>
      <c r="D40" s="11"/>
      <c r="F40" s="11"/>
      <c r="K40" s="11"/>
    </row>
  </sheetData>
  <mergeCells count="39">
    <mergeCell ref="A27:B27"/>
    <mergeCell ref="C27:D27"/>
    <mergeCell ref="A32:B32"/>
    <mergeCell ref="C32:D32"/>
    <mergeCell ref="A34:B34"/>
    <mergeCell ref="C34:D34"/>
    <mergeCell ref="A20:B20"/>
    <mergeCell ref="C20:D20"/>
    <mergeCell ref="A24:B24"/>
    <mergeCell ref="C24:D24"/>
    <mergeCell ref="A26:B26"/>
    <mergeCell ref="C26:D26"/>
    <mergeCell ref="L9:L11"/>
    <mergeCell ref="M9:M11"/>
    <mergeCell ref="N9:N11"/>
    <mergeCell ref="O9:O11"/>
    <mergeCell ref="P9:P11"/>
    <mergeCell ref="A14:D14"/>
    <mergeCell ref="A18:B18"/>
    <mergeCell ref="C18:D18"/>
    <mergeCell ref="H8:H11"/>
    <mergeCell ref="I8:I11"/>
    <mergeCell ref="C15:D15"/>
    <mergeCell ref="C1:D1"/>
    <mergeCell ref="A2:Q3"/>
    <mergeCell ref="A5:Q6"/>
    <mergeCell ref="A8:A11"/>
    <mergeCell ref="B8:B11"/>
    <mergeCell ref="C8:C11"/>
    <mergeCell ref="D8:D11"/>
    <mergeCell ref="E8:E13"/>
    <mergeCell ref="F8:F11"/>
    <mergeCell ref="G8:G11"/>
    <mergeCell ref="Q9:Q11"/>
    <mergeCell ref="A12:D12"/>
    <mergeCell ref="A13:D13"/>
    <mergeCell ref="J8:Q8"/>
    <mergeCell ref="J9:J11"/>
    <mergeCell ref="K9:K11"/>
  </mergeCells>
  <pageMargins left="0.70866141732283472" right="0.70866141732283472" top="0.74803149606299213" bottom="0.74803149606299213" header="0.31496062992125984" footer="0.31496062992125984"/>
  <pageSetup paperSize="9" scale="3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2"/>
  <sheetViews>
    <sheetView view="pageBreakPreview" zoomScale="60" zoomScaleNormal="57" workbookViewId="0">
      <selection activeCell="G73" sqref="G73"/>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7" width="23.5703125" customWidth="1"/>
    <col min="8" max="8" width="24.7109375" customWidth="1"/>
    <col min="9" max="10" width="20.28515625" customWidth="1"/>
    <col min="11" max="14" width="21.42578125" hidden="1" customWidth="1"/>
    <col min="15" max="15" width="21.42578125" customWidth="1"/>
    <col min="16" max="16" width="24.7109375" hidden="1" customWidth="1"/>
    <col min="17" max="17" width="25.85546875" hidden="1" customWidth="1"/>
    <col min="18" max="18" width="23.85546875" customWidth="1"/>
    <col min="19" max="20" width="23.7109375" customWidth="1"/>
    <col min="21" max="21" width="23.85546875" hidden="1" customWidth="1"/>
    <col min="22" max="22" width="24.7109375" hidden="1" customWidth="1"/>
    <col min="24" max="24" width="20.140625" bestFit="1" customWidth="1"/>
  </cols>
  <sheetData>
    <row r="1" spans="1:22" s="2" customFormat="1" ht="18" x14ac:dyDescent="0.2">
      <c r="A1" s="840"/>
      <c r="B1" s="840"/>
      <c r="C1" s="102"/>
      <c r="D1" s="841"/>
      <c r="E1" s="841"/>
      <c r="F1" s="8"/>
      <c r="G1" s="8"/>
      <c r="H1" s="8"/>
      <c r="I1" s="8"/>
      <c r="J1" s="8"/>
      <c r="K1" s="8"/>
      <c r="L1" s="8"/>
      <c r="M1" s="8"/>
      <c r="N1" s="8"/>
      <c r="O1" s="8"/>
      <c r="P1" s="8"/>
      <c r="Q1" s="8"/>
      <c r="R1" s="8"/>
      <c r="S1" s="8"/>
      <c r="T1" s="8"/>
      <c r="U1" s="8"/>
      <c r="V1" s="8"/>
    </row>
    <row r="2" spans="1:22" s="2" customFormat="1" ht="21" customHeight="1" x14ac:dyDescent="0.2">
      <c r="A2" s="846" t="s">
        <v>692</v>
      </c>
      <c r="B2" s="846"/>
      <c r="C2" s="846"/>
      <c r="D2" s="846"/>
      <c r="E2" s="846"/>
      <c r="F2" s="846"/>
      <c r="G2" s="846"/>
      <c r="H2" s="846"/>
      <c r="I2" s="846"/>
      <c r="J2" s="846"/>
      <c r="K2" s="846"/>
      <c r="L2" s="846"/>
      <c r="M2" s="846"/>
      <c r="N2" s="846"/>
      <c r="O2" s="846"/>
      <c r="P2" s="846"/>
      <c r="Q2" s="846"/>
      <c r="R2" s="846"/>
      <c r="S2" s="846"/>
      <c r="T2" s="127"/>
    </row>
    <row r="3" spans="1:22" s="2" customFormat="1" ht="18" customHeight="1" x14ac:dyDescent="0.2">
      <c r="A3" s="846"/>
      <c r="B3" s="846"/>
      <c r="C3" s="846"/>
      <c r="D3" s="846"/>
      <c r="E3" s="846"/>
      <c r="F3" s="846"/>
      <c r="G3" s="846"/>
      <c r="H3" s="846"/>
      <c r="I3" s="846"/>
      <c r="J3" s="846"/>
      <c r="K3" s="846"/>
      <c r="L3" s="846"/>
      <c r="M3" s="846"/>
      <c r="N3" s="846"/>
      <c r="O3" s="846"/>
      <c r="P3" s="846"/>
      <c r="Q3" s="846"/>
      <c r="R3" s="846"/>
      <c r="S3" s="846"/>
      <c r="T3" s="127"/>
    </row>
    <row r="4" spans="1:22" s="2" customFormat="1" ht="9.75" customHeight="1" x14ac:dyDescent="0.4">
      <c r="A4" s="28"/>
      <c r="B4" s="28"/>
      <c r="C4" s="28"/>
      <c r="D4" s="28"/>
      <c r="E4" s="28"/>
      <c r="F4" s="28"/>
      <c r="G4" s="28"/>
      <c r="H4" s="28"/>
      <c r="I4" s="28"/>
      <c r="J4" s="28"/>
      <c r="K4" s="28"/>
      <c r="L4" s="28"/>
      <c r="M4" s="28"/>
      <c r="N4" s="28"/>
      <c r="O4" s="28"/>
      <c r="P4" s="28"/>
      <c r="Q4" s="28"/>
      <c r="S4" s="28"/>
      <c r="T4" s="28"/>
    </row>
    <row r="5" spans="1:22" s="2" customFormat="1" ht="15.75" customHeight="1" x14ac:dyDescent="0.2">
      <c r="A5" s="847" t="s">
        <v>569</v>
      </c>
      <c r="B5" s="847"/>
      <c r="C5" s="847"/>
      <c r="D5" s="847"/>
      <c r="E5" s="847"/>
      <c r="F5" s="847"/>
      <c r="G5" s="847"/>
      <c r="H5" s="847"/>
      <c r="I5" s="847"/>
      <c r="J5" s="847"/>
      <c r="K5" s="847"/>
      <c r="L5" s="847"/>
      <c r="M5" s="847"/>
      <c r="N5" s="847"/>
      <c r="O5" s="847"/>
      <c r="P5" s="847"/>
      <c r="Q5" s="847"/>
      <c r="R5" s="847"/>
      <c r="S5" s="847"/>
      <c r="T5" s="847"/>
      <c r="U5" s="847"/>
      <c r="V5" s="847"/>
    </row>
    <row r="6" spans="1:22" s="2" customFormat="1" ht="40.5" customHeight="1" x14ac:dyDescent="0.2">
      <c r="A6" s="847"/>
      <c r="B6" s="847"/>
      <c r="C6" s="847"/>
      <c r="D6" s="847"/>
      <c r="E6" s="847"/>
      <c r="F6" s="847"/>
      <c r="G6" s="847"/>
      <c r="H6" s="847"/>
      <c r="I6" s="847"/>
      <c r="J6" s="847"/>
      <c r="K6" s="847"/>
      <c r="L6" s="847"/>
      <c r="M6" s="847"/>
      <c r="N6" s="847"/>
      <c r="O6" s="847"/>
      <c r="P6" s="847"/>
      <c r="Q6" s="847"/>
      <c r="R6" s="847"/>
      <c r="S6" s="847"/>
      <c r="T6" s="847"/>
      <c r="U6" s="847"/>
      <c r="V6" s="847"/>
    </row>
    <row r="7" spans="1:22" ht="29.25" customHeight="1" thickBot="1" x14ac:dyDescent="0.45">
      <c r="A7" s="25" t="s">
        <v>32</v>
      </c>
      <c r="B7" s="6"/>
      <c r="C7" s="22"/>
      <c r="D7" s="23"/>
      <c r="E7" s="23"/>
      <c r="F7" s="24"/>
      <c r="G7" s="23"/>
      <c r="H7" s="23"/>
      <c r="I7" s="23"/>
      <c r="J7" s="23"/>
      <c r="K7" s="23"/>
      <c r="L7" s="23"/>
      <c r="M7" s="23"/>
      <c r="N7" s="23"/>
      <c r="O7" s="23"/>
      <c r="P7" s="23"/>
      <c r="Q7" s="23"/>
      <c r="R7" s="23"/>
      <c r="S7" s="23"/>
      <c r="T7" s="23"/>
      <c r="U7" s="23"/>
      <c r="V7" s="23"/>
    </row>
    <row r="8" spans="1:22" ht="83.25" customHeight="1" x14ac:dyDescent="0.2">
      <c r="A8" s="842" t="s">
        <v>10</v>
      </c>
      <c r="B8" s="884" t="s">
        <v>95</v>
      </c>
      <c r="C8" s="844" t="s">
        <v>89</v>
      </c>
      <c r="D8" s="844" t="s">
        <v>11</v>
      </c>
      <c r="E8" s="844" t="s">
        <v>62</v>
      </c>
      <c r="F8" s="881" t="s">
        <v>34</v>
      </c>
      <c r="G8" s="887" t="s">
        <v>141</v>
      </c>
      <c r="H8" s="844" t="s">
        <v>140</v>
      </c>
      <c r="I8" s="930" t="s">
        <v>681</v>
      </c>
      <c r="J8" s="931"/>
      <c r="K8" s="913" t="s">
        <v>553</v>
      </c>
      <c r="L8" s="913" t="s">
        <v>555</v>
      </c>
      <c r="M8" s="913" t="s">
        <v>550</v>
      </c>
      <c r="N8" s="913" t="s">
        <v>551</v>
      </c>
      <c r="O8" s="848" t="s">
        <v>73</v>
      </c>
      <c r="P8" s="848" t="s">
        <v>74</v>
      </c>
      <c r="Q8" s="848" t="s">
        <v>70</v>
      </c>
      <c r="R8" s="913" t="s">
        <v>572</v>
      </c>
      <c r="S8" s="1032" t="s">
        <v>559</v>
      </c>
      <c r="T8" s="910" t="s">
        <v>562</v>
      </c>
      <c r="U8" s="854" t="s">
        <v>71</v>
      </c>
      <c r="V8" s="851" t="s">
        <v>72</v>
      </c>
    </row>
    <row r="9" spans="1:22" ht="45.75" customHeight="1" x14ac:dyDescent="0.2">
      <c r="A9" s="843"/>
      <c r="B9" s="885"/>
      <c r="C9" s="845"/>
      <c r="D9" s="845"/>
      <c r="E9" s="845"/>
      <c r="F9" s="882"/>
      <c r="G9" s="888"/>
      <c r="H9" s="845"/>
      <c r="I9" s="932"/>
      <c r="J9" s="933"/>
      <c r="K9" s="914"/>
      <c r="L9" s="914"/>
      <c r="M9" s="914"/>
      <c r="N9" s="914"/>
      <c r="O9" s="849"/>
      <c r="P9" s="849"/>
      <c r="Q9" s="849"/>
      <c r="R9" s="914"/>
      <c r="S9" s="1033"/>
      <c r="T9" s="911"/>
      <c r="U9" s="855"/>
      <c r="V9" s="852"/>
    </row>
    <row r="10" spans="1:22" ht="37.5" customHeight="1" x14ac:dyDescent="0.2">
      <c r="A10" s="843"/>
      <c r="B10" s="885"/>
      <c r="C10" s="845"/>
      <c r="D10" s="845"/>
      <c r="E10" s="845"/>
      <c r="F10" s="882"/>
      <c r="G10" s="888"/>
      <c r="H10" s="845"/>
      <c r="I10" s="934"/>
      <c r="J10" s="935"/>
      <c r="K10" s="914"/>
      <c r="L10" s="914"/>
      <c r="M10" s="914"/>
      <c r="N10" s="914"/>
      <c r="O10" s="849"/>
      <c r="P10" s="849"/>
      <c r="Q10" s="849"/>
      <c r="R10" s="914"/>
      <c r="S10" s="1033"/>
      <c r="T10" s="911"/>
      <c r="U10" s="855"/>
      <c r="V10" s="852"/>
    </row>
    <row r="11" spans="1:22" ht="140.25" customHeight="1" x14ac:dyDescent="0.2">
      <c r="A11" s="843"/>
      <c r="B11" s="886"/>
      <c r="C11" s="845"/>
      <c r="D11" s="845"/>
      <c r="E11" s="845"/>
      <c r="F11" s="883"/>
      <c r="G11" s="888"/>
      <c r="H11" s="918"/>
      <c r="I11" s="189" t="s">
        <v>704</v>
      </c>
      <c r="J11" s="189" t="s">
        <v>705</v>
      </c>
      <c r="K11" s="1031"/>
      <c r="L11" s="1031"/>
      <c r="M11" s="1031"/>
      <c r="N11" s="1031"/>
      <c r="O11" s="850"/>
      <c r="P11" s="850"/>
      <c r="Q11" s="850"/>
      <c r="R11" s="1031"/>
      <c r="S11" s="1034"/>
      <c r="T11" s="912"/>
      <c r="U11" s="856"/>
      <c r="V11" s="853"/>
    </row>
    <row r="12" spans="1:22" s="31" customFormat="1" ht="48.75" customHeight="1" x14ac:dyDescent="0.35">
      <c r="A12" s="869" t="s">
        <v>38</v>
      </c>
      <c r="B12" s="870"/>
      <c r="C12" s="870"/>
      <c r="D12" s="870"/>
      <c r="E12" s="870"/>
      <c r="F12" s="871"/>
      <c r="G12" s="34" t="s">
        <v>139</v>
      </c>
      <c r="H12" s="34" t="s">
        <v>142</v>
      </c>
      <c r="I12" s="34" t="s">
        <v>702</v>
      </c>
      <c r="J12" s="34" t="s">
        <v>703</v>
      </c>
      <c r="K12" s="34" t="s">
        <v>554</v>
      </c>
      <c r="L12" s="34" t="s">
        <v>556</v>
      </c>
      <c r="M12" s="34" t="s">
        <v>549</v>
      </c>
      <c r="N12" s="34" t="s">
        <v>549</v>
      </c>
      <c r="O12" s="34" t="s">
        <v>564</v>
      </c>
      <c r="P12" s="34" t="s">
        <v>563</v>
      </c>
      <c r="Q12" s="34" t="s">
        <v>552</v>
      </c>
      <c r="R12" s="34" t="s">
        <v>573</v>
      </c>
      <c r="S12" s="34" t="s">
        <v>560</v>
      </c>
      <c r="T12" s="35" t="s">
        <v>561</v>
      </c>
      <c r="U12" s="109" t="s">
        <v>107</v>
      </c>
      <c r="V12" s="35" t="s">
        <v>108</v>
      </c>
    </row>
    <row r="13" spans="1:22" ht="43.5" customHeight="1" x14ac:dyDescent="0.3">
      <c r="A13" s="876" t="s">
        <v>15</v>
      </c>
      <c r="B13" s="877"/>
      <c r="C13" s="877"/>
      <c r="D13" s="877"/>
      <c r="E13" s="877"/>
      <c r="F13" s="64">
        <f>F14+F20+F46+F48+F51+F58</f>
        <v>55249449.460000001</v>
      </c>
      <c r="G13" s="165">
        <f>G14+G20+G46+G48+G51+G58</f>
        <v>9387870.6600000001</v>
      </c>
      <c r="H13" s="165">
        <f>H14+H20+H46+H48+H51+H58</f>
        <v>41496978</v>
      </c>
      <c r="I13" s="165">
        <f t="shared" ref="I13:J13" si="0">I14+I20+I48+I51+I58+I46</f>
        <v>3093552</v>
      </c>
      <c r="J13" s="165">
        <f t="shared" si="0"/>
        <v>140616</v>
      </c>
      <c r="K13" s="64">
        <f t="shared" ref="K13:N13" si="1">K14+K20+K48+K51+K58+K46</f>
        <v>0</v>
      </c>
      <c r="L13" s="64">
        <f t="shared" si="1"/>
        <v>0</v>
      </c>
      <c r="M13" s="64">
        <f t="shared" si="1"/>
        <v>0</v>
      </c>
      <c r="N13" s="64">
        <f t="shared" si="1"/>
        <v>0</v>
      </c>
      <c r="O13" s="64">
        <f>O14+O20+O46+O48+O51+O58</f>
        <v>1019898</v>
      </c>
      <c r="P13" s="64">
        <f>P14+P20+P46+P48+P51+P58</f>
        <v>0</v>
      </c>
      <c r="Q13" s="64">
        <f>Q14+Q20+Q46+Q48+Q51+Q58</f>
        <v>0</v>
      </c>
      <c r="R13" s="64">
        <f>R14+R20+R48+R51+R58</f>
        <v>15506</v>
      </c>
      <c r="S13" s="64">
        <f>S14+S20+S48+S51+S58</f>
        <v>68896.800000000003</v>
      </c>
      <c r="T13" s="65">
        <f>T14+T20+T48+T51+T58</f>
        <v>26132</v>
      </c>
      <c r="U13" s="110">
        <f>U14+U20+U48+U51+U58</f>
        <v>0</v>
      </c>
      <c r="V13" s="65">
        <f>V14+V20+V48+V51+V58</f>
        <v>0</v>
      </c>
    </row>
    <row r="14" spans="1:22" ht="42.75" customHeight="1" x14ac:dyDescent="0.3">
      <c r="A14" s="872" t="s">
        <v>94</v>
      </c>
      <c r="B14" s="873"/>
      <c r="C14" s="873"/>
      <c r="D14" s="874">
        <v>210</v>
      </c>
      <c r="E14" s="875"/>
      <c r="F14" s="47">
        <f t="shared" ref="F14:F19" si="2">SUM(G14:T14)</f>
        <v>43512319.270000003</v>
      </c>
      <c r="G14" s="47">
        <f>G15+G16+G17+G18</f>
        <v>374967.27</v>
      </c>
      <c r="H14" s="47">
        <f t="shared" ref="H14" si="3">H15+H16+H17+H18</f>
        <v>39887678</v>
      </c>
      <c r="I14" s="47">
        <f t="shared" ref="I14:J14" si="4">I15+I16+I17+I18</f>
        <v>3093552</v>
      </c>
      <c r="J14" s="47">
        <f t="shared" si="4"/>
        <v>140616</v>
      </c>
      <c r="K14" s="47">
        <f t="shared" ref="K14:T14" si="5">K15+K16+K17+K18</f>
        <v>0</v>
      </c>
      <c r="L14" s="47">
        <f t="shared" si="5"/>
        <v>0</v>
      </c>
      <c r="M14" s="47">
        <f t="shared" si="5"/>
        <v>0</v>
      </c>
      <c r="N14" s="47">
        <f t="shared" si="5"/>
        <v>0</v>
      </c>
      <c r="O14" s="47">
        <f t="shared" si="5"/>
        <v>0</v>
      </c>
      <c r="P14" s="47">
        <f t="shared" si="5"/>
        <v>0</v>
      </c>
      <c r="Q14" s="47">
        <f t="shared" si="5"/>
        <v>0</v>
      </c>
      <c r="R14" s="47">
        <f t="shared" si="5"/>
        <v>15506</v>
      </c>
      <c r="S14" s="47">
        <f t="shared" si="5"/>
        <v>0</v>
      </c>
      <c r="T14" s="56">
        <f t="shared" si="5"/>
        <v>0</v>
      </c>
      <c r="U14" s="111">
        <f t="shared" ref="U14:V14" si="6">U15+U16+U17+U18</f>
        <v>0</v>
      </c>
      <c r="V14" s="56">
        <f t="shared" si="6"/>
        <v>0</v>
      </c>
    </row>
    <row r="15" spans="1:22" ht="36" customHeight="1" x14ac:dyDescent="0.25">
      <c r="A15" s="20" t="s">
        <v>16</v>
      </c>
      <c r="B15" s="40" t="s">
        <v>96</v>
      </c>
      <c r="C15" s="125" t="s">
        <v>47</v>
      </c>
      <c r="D15" s="67">
        <v>21101</v>
      </c>
      <c r="E15" s="125" t="s">
        <v>90</v>
      </c>
      <c r="F15" s="13">
        <f t="shared" si="2"/>
        <v>33398659</v>
      </c>
      <c r="G15" s="13">
        <v>267054</v>
      </c>
      <c r="H15" s="13">
        <f>30635696</f>
        <v>30635696</v>
      </c>
      <c r="I15" s="13">
        <f>2376000</f>
        <v>2376000</v>
      </c>
      <c r="J15" s="13">
        <f>108000</f>
        <v>108000</v>
      </c>
      <c r="K15" s="13"/>
      <c r="L15" s="13"/>
      <c r="M15" s="13"/>
      <c r="N15" s="13"/>
      <c r="O15" s="13"/>
      <c r="P15" s="13"/>
      <c r="Q15" s="13"/>
      <c r="R15" s="335">
        <f>11909</f>
        <v>11909</v>
      </c>
      <c r="S15" s="13"/>
      <c r="T15" s="18"/>
      <c r="U15" s="112"/>
      <c r="V15" s="18"/>
    </row>
    <row r="16" spans="1:22" ht="35.25" customHeight="1" x14ac:dyDescent="0.25">
      <c r="A16" s="16" t="s">
        <v>17</v>
      </c>
      <c r="B16" s="40" t="s">
        <v>97</v>
      </c>
      <c r="C16" s="125" t="s">
        <v>48</v>
      </c>
      <c r="D16" s="67">
        <v>21300</v>
      </c>
      <c r="E16" s="125" t="s">
        <v>18</v>
      </c>
      <c r="F16" s="13">
        <f t="shared" si="2"/>
        <v>10086397</v>
      </c>
      <c r="G16" s="13">
        <v>80650</v>
      </c>
      <c r="H16" s="13">
        <f>9251982</f>
        <v>9251982</v>
      </c>
      <c r="I16" s="13">
        <f>717552</f>
        <v>717552</v>
      </c>
      <c r="J16" s="13">
        <f>32616</f>
        <v>32616</v>
      </c>
      <c r="K16" s="13"/>
      <c r="L16" s="13"/>
      <c r="M16" s="13"/>
      <c r="N16" s="13"/>
      <c r="O16" s="13"/>
      <c r="P16" s="13"/>
      <c r="Q16" s="13"/>
      <c r="R16" s="335">
        <f>3597</f>
        <v>3597</v>
      </c>
      <c r="S16" s="13"/>
      <c r="T16" s="18"/>
      <c r="U16" s="112"/>
      <c r="V16" s="18"/>
    </row>
    <row r="17" spans="1:22" ht="36" customHeight="1" x14ac:dyDescent="0.25">
      <c r="A17" s="16" t="s">
        <v>98</v>
      </c>
      <c r="B17" s="40" t="s">
        <v>99</v>
      </c>
      <c r="C17" s="125" t="s">
        <v>48</v>
      </c>
      <c r="D17" s="67">
        <v>21300</v>
      </c>
      <c r="E17" s="125" t="s">
        <v>18</v>
      </c>
      <c r="F17" s="13">
        <f t="shared" si="2"/>
        <v>27263.27</v>
      </c>
      <c r="G17" s="154">
        <f>27263.27</f>
        <v>27263.27</v>
      </c>
      <c r="H17" s="13"/>
      <c r="I17" s="13"/>
      <c r="J17" s="13"/>
      <c r="K17" s="13"/>
      <c r="L17" s="13"/>
      <c r="M17" s="13"/>
      <c r="N17" s="13"/>
      <c r="O17" s="13"/>
      <c r="P17" s="13"/>
      <c r="Q17" s="13"/>
      <c r="R17" s="13"/>
      <c r="S17" s="13"/>
      <c r="T17" s="18"/>
      <c r="U17" s="112"/>
      <c r="V17" s="18"/>
    </row>
    <row r="18" spans="1:22" ht="29.25" customHeight="1" x14ac:dyDescent="0.3">
      <c r="A18" s="862" t="s">
        <v>12</v>
      </c>
      <c r="B18" s="863"/>
      <c r="C18" s="863"/>
      <c r="D18" s="860">
        <v>212</v>
      </c>
      <c r="E18" s="861"/>
      <c r="F18" s="44">
        <f t="shared" si="2"/>
        <v>0</v>
      </c>
      <c r="G18" s="44">
        <f>G19</f>
        <v>0</v>
      </c>
      <c r="H18" s="44">
        <f t="shared" ref="H18" si="7">H19</f>
        <v>0</v>
      </c>
      <c r="I18" s="44">
        <f t="shared" ref="I18:T18" si="8">I19</f>
        <v>0</v>
      </c>
      <c r="J18" s="44">
        <f t="shared" si="8"/>
        <v>0</v>
      </c>
      <c r="K18" s="44">
        <f t="shared" si="8"/>
        <v>0</v>
      </c>
      <c r="L18" s="44">
        <f t="shared" si="8"/>
        <v>0</v>
      </c>
      <c r="M18" s="44">
        <f t="shared" si="8"/>
        <v>0</v>
      </c>
      <c r="N18" s="44">
        <f t="shared" si="8"/>
        <v>0</v>
      </c>
      <c r="O18" s="44">
        <f t="shared" si="8"/>
        <v>0</v>
      </c>
      <c r="P18" s="44">
        <f t="shared" si="8"/>
        <v>0</v>
      </c>
      <c r="Q18" s="44">
        <f t="shared" si="8"/>
        <v>0</v>
      </c>
      <c r="R18" s="44">
        <f t="shared" si="8"/>
        <v>0</v>
      </c>
      <c r="S18" s="44">
        <f t="shared" si="8"/>
        <v>0</v>
      </c>
      <c r="T18" s="50">
        <f t="shared" si="8"/>
        <v>0</v>
      </c>
      <c r="U18" s="113">
        <f t="shared" ref="U18:V18" si="9">U19</f>
        <v>0</v>
      </c>
      <c r="V18" s="50">
        <f t="shared" si="9"/>
        <v>0</v>
      </c>
    </row>
    <row r="19" spans="1:22" ht="34.5" customHeight="1" x14ac:dyDescent="0.3">
      <c r="A19" s="57" t="s">
        <v>112</v>
      </c>
      <c r="B19" s="39" t="s">
        <v>100</v>
      </c>
      <c r="C19" s="38">
        <v>112</v>
      </c>
      <c r="D19" s="41">
        <v>21201</v>
      </c>
      <c r="E19" s="125" t="s">
        <v>59</v>
      </c>
      <c r="F19" s="13">
        <f t="shared" si="2"/>
        <v>0</v>
      </c>
      <c r="G19" s="13">
        <v>0</v>
      </c>
      <c r="H19" s="13"/>
      <c r="I19" s="13"/>
      <c r="J19" s="13"/>
      <c r="K19" s="14"/>
      <c r="L19" s="14"/>
      <c r="M19" s="14"/>
      <c r="N19" s="14"/>
      <c r="O19" s="14"/>
      <c r="P19" s="14"/>
      <c r="Q19" s="14"/>
      <c r="R19" s="14"/>
      <c r="S19" s="14"/>
      <c r="T19" s="17"/>
      <c r="U19" s="114"/>
      <c r="V19" s="17"/>
    </row>
    <row r="20" spans="1:22" ht="27.75" customHeight="1" x14ac:dyDescent="0.3">
      <c r="A20" s="864" t="s">
        <v>92</v>
      </c>
      <c r="B20" s="865"/>
      <c r="C20" s="866"/>
      <c r="D20" s="867">
        <v>220</v>
      </c>
      <c r="E20" s="868"/>
      <c r="F20" s="45">
        <f>F21+F23+F24+F29+F36+F22</f>
        <v>8489958.8200000003</v>
      </c>
      <c r="G20" s="45">
        <f t="shared" ref="G20" si="10">G21+G23+G24+G29+G36+G22</f>
        <v>8389958.8200000003</v>
      </c>
      <c r="H20" s="45">
        <f t="shared" ref="H20" si="11">H21+H23+H24+H29+H36+H22</f>
        <v>100000</v>
      </c>
      <c r="I20" s="45">
        <f t="shared" ref="I20:T20" si="12">I21+I23+I24+I29+I36+I22</f>
        <v>0</v>
      </c>
      <c r="J20" s="45">
        <f t="shared" si="12"/>
        <v>0</v>
      </c>
      <c r="K20" s="45">
        <f t="shared" si="12"/>
        <v>0</v>
      </c>
      <c r="L20" s="45">
        <f t="shared" si="12"/>
        <v>0</v>
      </c>
      <c r="M20" s="45">
        <f t="shared" si="12"/>
        <v>0</v>
      </c>
      <c r="N20" s="45">
        <f t="shared" si="12"/>
        <v>0</v>
      </c>
      <c r="O20" s="45">
        <f t="shared" si="12"/>
        <v>0</v>
      </c>
      <c r="P20" s="45">
        <f t="shared" si="12"/>
        <v>0</v>
      </c>
      <c r="Q20" s="45">
        <f t="shared" si="12"/>
        <v>0</v>
      </c>
      <c r="R20" s="45">
        <f t="shared" si="12"/>
        <v>0</v>
      </c>
      <c r="S20" s="45">
        <f t="shared" si="12"/>
        <v>0</v>
      </c>
      <c r="T20" s="45">
        <f t="shared" si="12"/>
        <v>0</v>
      </c>
      <c r="U20" s="115">
        <f t="shared" ref="U20:V20" si="13">U21+U23+U24+U29+U36</f>
        <v>0</v>
      </c>
      <c r="V20" s="46">
        <f t="shared" si="13"/>
        <v>0</v>
      </c>
    </row>
    <row r="21" spans="1:22" ht="29.25" customHeight="1" x14ac:dyDescent="0.25">
      <c r="A21" s="51" t="s">
        <v>0</v>
      </c>
      <c r="B21" s="52" t="s">
        <v>100</v>
      </c>
      <c r="C21" s="53" t="s">
        <v>49</v>
      </c>
      <c r="D21" s="54">
        <v>22100</v>
      </c>
      <c r="E21" s="53" t="s">
        <v>113</v>
      </c>
      <c r="F21" s="48">
        <f>SUM(G21:T21)</f>
        <v>46812.03</v>
      </c>
      <c r="G21" s="48">
        <v>46812.03</v>
      </c>
      <c r="H21" s="48"/>
      <c r="I21" s="48"/>
      <c r="J21" s="48"/>
      <c r="K21" s="48"/>
      <c r="L21" s="48"/>
      <c r="M21" s="48"/>
      <c r="N21" s="48"/>
      <c r="O21" s="48"/>
      <c r="P21" s="48"/>
      <c r="Q21" s="48"/>
      <c r="R21" s="48"/>
      <c r="S21" s="48"/>
      <c r="T21" s="49"/>
      <c r="U21" s="116"/>
      <c r="V21" s="49"/>
    </row>
    <row r="22" spans="1:22" ht="32.25" customHeight="1" x14ac:dyDescent="0.25">
      <c r="A22" s="51" t="s">
        <v>682</v>
      </c>
      <c r="B22" s="167" t="s">
        <v>100</v>
      </c>
      <c r="C22" s="53" t="s">
        <v>50</v>
      </c>
      <c r="D22" s="54">
        <v>22299</v>
      </c>
      <c r="E22" s="53" t="s">
        <v>60</v>
      </c>
      <c r="F22" s="48">
        <f>SUM(G22:T22)</f>
        <v>0</v>
      </c>
      <c r="G22" s="48">
        <v>0</v>
      </c>
      <c r="H22" s="48"/>
      <c r="I22" s="48"/>
      <c r="J22" s="48"/>
      <c r="K22" s="48"/>
      <c r="L22" s="48"/>
      <c r="M22" s="48"/>
      <c r="N22" s="48"/>
      <c r="O22" s="48"/>
      <c r="P22" s="48"/>
      <c r="Q22" s="48"/>
      <c r="R22" s="48"/>
      <c r="S22" s="48"/>
      <c r="T22" s="49"/>
    </row>
    <row r="23" spans="1:22" ht="27" customHeight="1" x14ac:dyDescent="0.25">
      <c r="A23" s="51" t="s">
        <v>93</v>
      </c>
      <c r="B23" s="52" t="s">
        <v>100</v>
      </c>
      <c r="C23" s="53" t="s">
        <v>49</v>
      </c>
      <c r="D23" s="54">
        <v>22299</v>
      </c>
      <c r="E23" s="53" t="s">
        <v>60</v>
      </c>
      <c r="F23" s="48">
        <f>SUM(G23:T23)</f>
        <v>63259.5</v>
      </c>
      <c r="G23" s="48">
        <v>63259.5</v>
      </c>
      <c r="H23" s="48"/>
      <c r="I23" s="48"/>
      <c r="J23" s="48"/>
      <c r="K23" s="48"/>
      <c r="L23" s="48"/>
      <c r="M23" s="48"/>
      <c r="N23" s="48"/>
      <c r="O23" s="48"/>
      <c r="P23" s="48"/>
      <c r="Q23" s="48"/>
      <c r="R23" s="48"/>
      <c r="S23" s="48"/>
      <c r="T23" s="49"/>
      <c r="U23" s="116"/>
      <c r="V23" s="49"/>
    </row>
    <row r="24" spans="1:22" ht="31.5" customHeight="1" x14ac:dyDescent="0.3">
      <c r="A24" s="857" t="s">
        <v>19</v>
      </c>
      <c r="B24" s="858"/>
      <c r="C24" s="859"/>
      <c r="D24" s="900">
        <v>223</v>
      </c>
      <c r="E24" s="901"/>
      <c r="F24" s="48">
        <f>SUM(F25:F28)</f>
        <v>5370913.75</v>
      </c>
      <c r="G24" s="48">
        <f>SUM(G25:G28)</f>
        <v>5370913.75</v>
      </c>
      <c r="H24" s="48">
        <f t="shared" ref="H24" si="14">SUM(H25:H28)</f>
        <v>0</v>
      </c>
      <c r="I24" s="48">
        <f t="shared" ref="I24:T24" si="15">SUM(I25:I28)</f>
        <v>0</v>
      </c>
      <c r="J24" s="48">
        <f t="shared" si="15"/>
        <v>0</v>
      </c>
      <c r="K24" s="48">
        <f t="shared" si="15"/>
        <v>0</v>
      </c>
      <c r="L24" s="48">
        <f t="shared" si="15"/>
        <v>0</v>
      </c>
      <c r="M24" s="48">
        <f t="shared" si="15"/>
        <v>0</v>
      </c>
      <c r="N24" s="48">
        <f t="shared" si="15"/>
        <v>0</v>
      </c>
      <c r="O24" s="48">
        <f t="shared" si="15"/>
        <v>0</v>
      </c>
      <c r="P24" s="48">
        <f t="shared" si="15"/>
        <v>0</v>
      </c>
      <c r="Q24" s="48">
        <f t="shared" si="15"/>
        <v>0</v>
      </c>
      <c r="R24" s="48">
        <f t="shared" si="15"/>
        <v>0</v>
      </c>
      <c r="S24" s="48">
        <f t="shared" si="15"/>
        <v>0</v>
      </c>
      <c r="T24" s="49">
        <f t="shared" si="15"/>
        <v>0</v>
      </c>
      <c r="U24" s="116">
        <f t="shared" ref="U24:V24" si="16">SUM(U25:U28)</f>
        <v>0</v>
      </c>
      <c r="V24" s="49">
        <f t="shared" si="16"/>
        <v>0</v>
      </c>
    </row>
    <row r="25" spans="1:22" ht="24.75" customHeight="1" x14ac:dyDescent="0.25">
      <c r="A25" s="37" t="s">
        <v>20</v>
      </c>
      <c r="B25" s="40" t="s">
        <v>102</v>
      </c>
      <c r="C25" s="125" t="s">
        <v>543</v>
      </c>
      <c r="D25" s="67">
        <v>22301</v>
      </c>
      <c r="E25" s="125" t="s">
        <v>69</v>
      </c>
      <c r="F25" s="13">
        <f>SUM(G25:T25)</f>
        <v>4663033.4400000004</v>
      </c>
      <c r="G25" s="13">
        <v>4663033.4400000004</v>
      </c>
      <c r="H25" s="13"/>
      <c r="I25" s="13"/>
      <c r="J25" s="13"/>
      <c r="K25" s="13"/>
      <c r="L25" s="13"/>
      <c r="M25" s="13"/>
      <c r="N25" s="13"/>
      <c r="O25" s="13"/>
      <c r="P25" s="13"/>
      <c r="Q25" s="13"/>
      <c r="R25" s="13"/>
      <c r="S25" s="13"/>
      <c r="T25" s="18"/>
      <c r="U25" s="112"/>
      <c r="V25" s="18"/>
    </row>
    <row r="26" spans="1:22" ht="33.75" customHeight="1" x14ac:dyDescent="0.25">
      <c r="A26" s="20" t="s">
        <v>5</v>
      </c>
      <c r="B26" s="40" t="s">
        <v>102</v>
      </c>
      <c r="C26" s="125" t="s">
        <v>543</v>
      </c>
      <c r="D26" s="67">
        <v>22302</v>
      </c>
      <c r="E26" s="125" t="s">
        <v>69</v>
      </c>
      <c r="F26" s="13">
        <f>SUM(G26:T26)</f>
        <v>95553.279999999999</v>
      </c>
      <c r="G26" s="13">
        <v>95553.279999999999</v>
      </c>
      <c r="H26" s="13"/>
      <c r="I26" s="13"/>
      <c r="J26" s="13"/>
      <c r="K26" s="13"/>
      <c r="L26" s="13"/>
      <c r="M26" s="13"/>
      <c r="N26" s="13"/>
      <c r="O26" s="13"/>
      <c r="P26" s="13"/>
      <c r="Q26" s="13"/>
      <c r="R26" s="13"/>
      <c r="S26" s="13"/>
      <c r="T26" s="18"/>
      <c r="U26" s="112"/>
      <c r="V26" s="18"/>
    </row>
    <row r="27" spans="1:22" ht="31.5" customHeight="1" x14ac:dyDescent="0.25">
      <c r="A27" s="37" t="s">
        <v>21</v>
      </c>
      <c r="B27" s="40" t="s">
        <v>102</v>
      </c>
      <c r="C27" s="318" t="s">
        <v>543</v>
      </c>
      <c r="D27" s="67">
        <v>22303</v>
      </c>
      <c r="E27" s="318" t="s">
        <v>69</v>
      </c>
      <c r="F27" s="13">
        <f>SUM(G27:T27)</f>
        <v>524172.93</v>
      </c>
      <c r="G27" s="13">
        <v>524172.93</v>
      </c>
      <c r="H27" s="13"/>
      <c r="I27" s="13"/>
      <c r="J27" s="13"/>
      <c r="K27" s="13"/>
      <c r="L27" s="13"/>
      <c r="M27" s="13"/>
      <c r="N27" s="13"/>
      <c r="O27" s="13"/>
      <c r="P27" s="13"/>
      <c r="Q27" s="13"/>
      <c r="R27" s="13"/>
      <c r="S27" s="13"/>
      <c r="T27" s="18"/>
      <c r="U27" s="112"/>
      <c r="V27" s="18"/>
    </row>
    <row r="28" spans="1:22" ht="31.5" customHeight="1" x14ac:dyDescent="0.25">
      <c r="A28" s="37" t="s">
        <v>665</v>
      </c>
      <c r="B28" s="40" t="s">
        <v>102</v>
      </c>
      <c r="C28" s="318" t="s">
        <v>49</v>
      </c>
      <c r="D28" s="67">
        <v>22304</v>
      </c>
      <c r="E28" s="318" t="s">
        <v>69</v>
      </c>
      <c r="F28" s="13">
        <f>SUM(G28:T28)</f>
        <v>88154.1</v>
      </c>
      <c r="G28" s="13">
        <v>88154.1</v>
      </c>
      <c r="H28" s="13"/>
      <c r="I28" s="13"/>
      <c r="J28" s="13"/>
      <c r="K28" s="13"/>
      <c r="L28" s="13"/>
      <c r="M28" s="13"/>
      <c r="N28" s="13"/>
      <c r="O28" s="13"/>
      <c r="P28" s="13"/>
      <c r="Q28" s="13"/>
      <c r="R28" s="13"/>
      <c r="S28" s="13"/>
      <c r="T28" s="18"/>
    </row>
    <row r="29" spans="1:22" ht="36" customHeight="1" x14ac:dyDescent="0.3">
      <c r="A29" s="857" t="s">
        <v>103</v>
      </c>
      <c r="B29" s="858"/>
      <c r="C29" s="859"/>
      <c r="D29" s="860">
        <v>225</v>
      </c>
      <c r="E29" s="861"/>
      <c r="F29" s="48">
        <f>SUM(F30:F35)</f>
        <v>1180420.24</v>
      </c>
      <c r="G29" s="48">
        <f>SUM(G30:G35)</f>
        <v>1180420.24</v>
      </c>
      <c r="H29" s="48">
        <f t="shared" ref="H29" si="17">SUM(H30:H32)</f>
        <v>0</v>
      </c>
      <c r="I29" s="48">
        <f t="shared" ref="I29:T29" si="18">SUM(I30:I32)</f>
        <v>0</v>
      </c>
      <c r="J29" s="48">
        <f t="shared" si="18"/>
        <v>0</v>
      </c>
      <c r="K29" s="48">
        <f t="shared" si="18"/>
        <v>0</v>
      </c>
      <c r="L29" s="48">
        <f t="shared" si="18"/>
        <v>0</v>
      </c>
      <c r="M29" s="48">
        <f t="shared" si="18"/>
        <v>0</v>
      </c>
      <c r="N29" s="48">
        <f t="shared" si="18"/>
        <v>0</v>
      </c>
      <c r="O29" s="48">
        <f t="shared" si="18"/>
        <v>0</v>
      </c>
      <c r="P29" s="48">
        <f t="shared" si="18"/>
        <v>0</v>
      </c>
      <c r="Q29" s="48">
        <f t="shared" si="18"/>
        <v>0</v>
      </c>
      <c r="R29" s="48">
        <f t="shared" si="18"/>
        <v>0</v>
      </c>
      <c r="S29" s="48">
        <f t="shared" si="18"/>
        <v>0</v>
      </c>
      <c r="T29" s="49">
        <f t="shared" si="18"/>
        <v>0</v>
      </c>
      <c r="U29" s="116">
        <f t="shared" ref="U29:V29" si="19">SUM(U30:U32)</f>
        <v>0</v>
      </c>
      <c r="V29" s="49">
        <f t="shared" si="19"/>
        <v>0</v>
      </c>
    </row>
    <row r="30" spans="1:22" ht="35.25" customHeight="1" x14ac:dyDescent="0.25">
      <c r="A30" s="42" t="s">
        <v>54</v>
      </c>
      <c r="B30" s="40" t="s">
        <v>100</v>
      </c>
      <c r="C30" s="125" t="s">
        <v>49</v>
      </c>
      <c r="D30" s="67">
        <v>22501</v>
      </c>
      <c r="E30" s="125" t="s">
        <v>104</v>
      </c>
      <c r="F30" s="13">
        <f t="shared" ref="F30:F45" si="20">SUM(G30:T30)</f>
        <v>231424.35</v>
      </c>
      <c r="G30" s="13">
        <v>231424.35</v>
      </c>
      <c r="H30" s="13"/>
      <c r="I30" s="13"/>
      <c r="J30" s="13"/>
      <c r="K30" s="13"/>
      <c r="L30" s="13"/>
      <c r="M30" s="13"/>
      <c r="N30" s="13"/>
      <c r="O30" s="13"/>
      <c r="P30" s="13"/>
      <c r="Q30" s="13"/>
      <c r="R30" s="13"/>
      <c r="S30" s="13"/>
      <c r="T30" s="18"/>
      <c r="U30" s="112"/>
      <c r="V30" s="18"/>
    </row>
    <row r="31" spans="1:22" ht="23.25" customHeight="1" x14ac:dyDescent="0.25">
      <c r="A31" s="42" t="s">
        <v>58</v>
      </c>
      <c r="B31" s="40" t="s">
        <v>100</v>
      </c>
      <c r="C31" s="125" t="s">
        <v>49</v>
      </c>
      <c r="D31" s="67">
        <v>22502</v>
      </c>
      <c r="E31" s="125" t="s">
        <v>104</v>
      </c>
      <c r="F31" s="13">
        <f t="shared" si="20"/>
        <v>36901.379999999997</v>
      </c>
      <c r="G31" s="13">
        <v>36901.379999999997</v>
      </c>
      <c r="H31" s="13"/>
      <c r="I31" s="13"/>
      <c r="J31" s="13"/>
      <c r="K31" s="13"/>
      <c r="L31" s="13"/>
      <c r="M31" s="13"/>
      <c r="N31" s="13"/>
      <c r="O31" s="13"/>
      <c r="P31" s="13"/>
      <c r="Q31" s="13"/>
      <c r="R31" s="13"/>
      <c r="S31" s="13"/>
      <c r="T31" s="18"/>
      <c r="U31" s="112"/>
      <c r="V31" s="18"/>
    </row>
    <row r="32" spans="1:22" ht="24.75" customHeight="1" x14ac:dyDescent="0.25">
      <c r="A32" s="43" t="s">
        <v>56</v>
      </c>
      <c r="B32" s="40" t="s">
        <v>100</v>
      </c>
      <c r="C32" s="125" t="s">
        <v>49</v>
      </c>
      <c r="D32" s="67">
        <v>22503</v>
      </c>
      <c r="E32" s="125" t="s">
        <v>104</v>
      </c>
      <c r="F32" s="13">
        <f t="shared" si="20"/>
        <v>247869.72</v>
      </c>
      <c r="G32" s="13">
        <v>247869.72</v>
      </c>
      <c r="H32" s="13"/>
      <c r="I32" s="13"/>
      <c r="J32" s="13"/>
      <c r="K32" s="13"/>
      <c r="L32" s="13"/>
      <c r="M32" s="13"/>
      <c r="N32" s="13"/>
      <c r="O32" s="13"/>
      <c r="P32" s="13"/>
      <c r="Q32" s="13"/>
      <c r="R32" s="13"/>
      <c r="S32" s="13"/>
      <c r="T32" s="18"/>
      <c r="U32" s="112"/>
      <c r="V32" s="18"/>
    </row>
    <row r="33" spans="1:22" ht="32.25" customHeight="1" x14ac:dyDescent="0.25">
      <c r="A33" s="43" t="s">
        <v>57</v>
      </c>
      <c r="B33" s="40" t="s">
        <v>100</v>
      </c>
      <c r="C33" s="125" t="s">
        <v>49</v>
      </c>
      <c r="D33" s="67">
        <v>22504</v>
      </c>
      <c r="E33" s="125" t="s">
        <v>104</v>
      </c>
      <c r="F33" s="13">
        <f t="shared" si="20"/>
        <v>31629.75</v>
      </c>
      <c r="G33" s="13">
        <v>31629.75</v>
      </c>
      <c r="H33" s="13"/>
      <c r="I33" s="13"/>
      <c r="J33" s="13"/>
      <c r="K33" s="13"/>
      <c r="L33" s="13"/>
      <c r="M33" s="13"/>
      <c r="N33" s="13"/>
      <c r="O33" s="13"/>
      <c r="P33" s="13"/>
      <c r="Q33" s="13"/>
      <c r="R33" s="13"/>
      <c r="S33" s="13"/>
      <c r="T33" s="18"/>
      <c r="U33" s="112"/>
      <c r="V33" s="18"/>
    </row>
    <row r="34" spans="1:22" ht="25.5" customHeight="1" x14ac:dyDescent="0.25">
      <c r="A34" s="42" t="s">
        <v>55</v>
      </c>
      <c r="B34" s="40" t="s">
        <v>100</v>
      </c>
      <c r="C34" s="125" t="s">
        <v>49</v>
      </c>
      <c r="D34" s="67">
        <v>22505</v>
      </c>
      <c r="E34" s="125" t="s">
        <v>104</v>
      </c>
      <c r="F34" s="13">
        <f t="shared" si="20"/>
        <v>0</v>
      </c>
      <c r="G34" s="13">
        <f>0</f>
        <v>0</v>
      </c>
      <c r="H34" s="13"/>
      <c r="I34" s="13"/>
      <c r="J34" s="13"/>
      <c r="K34" s="13"/>
      <c r="L34" s="13"/>
      <c r="M34" s="13"/>
      <c r="N34" s="13"/>
      <c r="O34" s="13"/>
      <c r="P34" s="13"/>
      <c r="Q34" s="13"/>
      <c r="R34" s="13"/>
      <c r="S34" s="13"/>
      <c r="T34" s="18"/>
      <c r="U34" s="112"/>
      <c r="V34" s="18"/>
    </row>
    <row r="35" spans="1:22" ht="34.5" customHeight="1" x14ac:dyDescent="0.25">
      <c r="A35" s="42" t="s">
        <v>22</v>
      </c>
      <c r="B35" s="40" t="s">
        <v>100</v>
      </c>
      <c r="C35" s="125" t="s">
        <v>49</v>
      </c>
      <c r="D35" s="67">
        <v>22599</v>
      </c>
      <c r="E35" s="125" t="s">
        <v>104</v>
      </c>
      <c r="F35" s="13">
        <f t="shared" si="20"/>
        <v>632595.04</v>
      </c>
      <c r="G35" s="13">
        <v>632595.04</v>
      </c>
      <c r="H35" s="13"/>
      <c r="I35" s="13"/>
      <c r="J35" s="13"/>
      <c r="K35" s="13"/>
      <c r="L35" s="13"/>
      <c r="M35" s="13"/>
      <c r="N35" s="13"/>
      <c r="O35" s="13"/>
      <c r="P35" s="13"/>
      <c r="Q35" s="13"/>
      <c r="R35" s="13"/>
      <c r="S35" s="13"/>
      <c r="T35" s="18"/>
      <c r="U35" s="112"/>
      <c r="V35" s="18"/>
    </row>
    <row r="36" spans="1:22" ht="28.5" customHeight="1" x14ac:dyDescent="0.3">
      <c r="A36" s="862" t="s">
        <v>109</v>
      </c>
      <c r="B36" s="863"/>
      <c r="C36" s="863"/>
      <c r="D36" s="860">
        <v>226</v>
      </c>
      <c r="E36" s="861"/>
      <c r="F36" s="44">
        <f t="shared" si="20"/>
        <v>1828553.2999999998</v>
      </c>
      <c r="G36" s="44">
        <f t="shared" ref="G36" si="21">SUM(G37:G45)</f>
        <v>1728553.2999999998</v>
      </c>
      <c r="H36" s="44">
        <f t="shared" ref="H36" si="22">SUM(H37:H45)</f>
        <v>100000</v>
      </c>
      <c r="I36" s="44">
        <f t="shared" ref="I36:T36" si="23">SUM(I37:I45)</f>
        <v>0</v>
      </c>
      <c r="J36" s="44">
        <f t="shared" si="23"/>
        <v>0</v>
      </c>
      <c r="K36" s="44">
        <f t="shared" si="23"/>
        <v>0</v>
      </c>
      <c r="L36" s="44">
        <f t="shared" si="23"/>
        <v>0</v>
      </c>
      <c r="M36" s="44">
        <f t="shared" si="23"/>
        <v>0</v>
      </c>
      <c r="N36" s="44">
        <f t="shared" si="23"/>
        <v>0</v>
      </c>
      <c r="O36" s="44">
        <f t="shared" si="23"/>
        <v>0</v>
      </c>
      <c r="P36" s="44">
        <f t="shared" si="23"/>
        <v>0</v>
      </c>
      <c r="Q36" s="44">
        <f t="shared" si="23"/>
        <v>0</v>
      </c>
      <c r="R36" s="44">
        <f t="shared" si="23"/>
        <v>0</v>
      </c>
      <c r="S36" s="44">
        <f t="shared" si="23"/>
        <v>0</v>
      </c>
      <c r="T36" s="50">
        <f t="shared" si="23"/>
        <v>0</v>
      </c>
      <c r="U36" s="113">
        <f t="shared" ref="U36:V36" si="24">SUM(U37:U45)</f>
        <v>0</v>
      </c>
      <c r="V36" s="50">
        <f t="shared" si="24"/>
        <v>0</v>
      </c>
    </row>
    <row r="37" spans="1:22" ht="24" customHeight="1" x14ac:dyDescent="0.25">
      <c r="A37" s="43" t="s">
        <v>33</v>
      </c>
      <c r="B37" s="40" t="s">
        <v>100</v>
      </c>
      <c r="C37" s="125" t="s">
        <v>49</v>
      </c>
      <c r="D37" s="67">
        <v>22601</v>
      </c>
      <c r="E37" s="125" t="s">
        <v>110</v>
      </c>
      <c r="F37" s="13">
        <f t="shared" si="20"/>
        <v>0</v>
      </c>
      <c r="G37" s="13">
        <f>0</f>
        <v>0</v>
      </c>
      <c r="H37" s="13"/>
      <c r="I37" s="13"/>
      <c r="J37" s="13"/>
      <c r="K37" s="13"/>
      <c r="L37" s="13"/>
      <c r="M37" s="13"/>
      <c r="N37" s="13"/>
      <c r="O37" s="13"/>
      <c r="P37" s="13"/>
      <c r="Q37" s="13"/>
      <c r="R37" s="13"/>
      <c r="S37" s="13"/>
      <c r="T37" s="18"/>
      <c r="U37" s="112"/>
      <c r="V37" s="18"/>
    </row>
    <row r="38" spans="1:22" ht="31.5" customHeight="1" x14ac:dyDescent="0.25">
      <c r="A38" s="42" t="s">
        <v>111</v>
      </c>
      <c r="B38" s="40" t="s">
        <v>100</v>
      </c>
      <c r="C38" s="125" t="s">
        <v>50</v>
      </c>
      <c r="D38" s="67">
        <v>22602</v>
      </c>
      <c r="E38" s="125" t="s">
        <v>110</v>
      </c>
      <c r="F38" s="13">
        <f t="shared" si="20"/>
        <v>0</v>
      </c>
      <c r="G38" s="154">
        <f>0</f>
        <v>0</v>
      </c>
      <c r="H38" s="13"/>
      <c r="I38" s="13"/>
      <c r="J38" s="13"/>
      <c r="K38" s="13"/>
      <c r="L38" s="13"/>
      <c r="M38" s="13"/>
      <c r="N38" s="13"/>
      <c r="O38" s="13"/>
      <c r="P38" s="13"/>
      <c r="Q38" s="13"/>
      <c r="R38" s="13"/>
      <c r="S38" s="13"/>
      <c r="T38" s="18"/>
      <c r="U38" s="112"/>
      <c r="V38" s="18"/>
    </row>
    <row r="39" spans="1:22" ht="34.5" customHeight="1" x14ac:dyDescent="0.25">
      <c r="A39" s="42" t="s">
        <v>114</v>
      </c>
      <c r="B39" s="40" t="s">
        <v>100</v>
      </c>
      <c r="C39" s="125" t="s">
        <v>115</v>
      </c>
      <c r="D39" s="67">
        <v>22602</v>
      </c>
      <c r="E39" s="125" t="s">
        <v>110</v>
      </c>
      <c r="F39" s="13">
        <f t="shared" si="20"/>
        <v>0</v>
      </c>
      <c r="G39" s="154">
        <f>0</f>
        <v>0</v>
      </c>
      <c r="H39" s="13"/>
      <c r="I39" s="13"/>
      <c r="J39" s="13"/>
      <c r="K39" s="13"/>
      <c r="L39" s="13"/>
      <c r="M39" s="13"/>
      <c r="N39" s="13"/>
      <c r="O39" s="13"/>
      <c r="P39" s="13"/>
      <c r="Q39" s="13"/>
      <c r="R39" s="13"/>
      <c r="S39" s="13"/>
      <c r="T39" s="18"/>
      <c r="U39" s="112"/>
      <c r="V39" s="18"/>
    </row>
    <row r="40" spans="1:22" ht="32.25" customHeight="1" x14ac:dyDescent="0.25">
      <c r="A40" s="182" t="s">
        <v>25</v>
      </c>
      <c r="B40" s="40" t="s">
        <v>100</v>
      </c>
      <c r="C40" s="181" t="s">
        <v>48</v>
      </c>
      <c r="D40" s="67">
        <v>22699</v>
      </c>
      <c r="E40" s="181" t="s">
        <v>110</v>
      </c>
      <c r="F40" s="13">
        <f>SUM(G40:T40)</f>
        <v>0</v>
      </c>
      <c r="G40" s="13">
        <v>0</v>
      </c>
      <c r="H40" s="13"/>
      <c r="I40" s="13"/>
      <c r="J40" s="13"/>
      <c r="K40" s="13"/>
      <c r="L40" s="13"/>
      <c r="M40" s="13"/>
      <c r="N40" s="13"/>
      <c r="O40" s="13"/>
      <c r="P40" s="13"/>
      <c r="Q40" s="13"/>
      <c r="R40" s="13"/>
      <c r="S40" s="13"/>
      <c r="T40" s="36"/>
    </row>
    <row r="41" spans="1:22" ht="22.5" customHeight="1" x14ac:dyDescent="0.25">
      <c r="A41" s="42" t="s">
        <v>23</v>
      </c>
      <c r="B41" s="40" t="s">
        <v>100</v>
      </c>
      <c r="C41" s="125" t="s">
        <v>49</v>
      </c>
      <c r="D41" s="67">
        <v>22603</v>
      </c>
      <c r="E41" s="125" t="s">
        <v>110</v>
      </c>
      <c r="F41" s="13">
        <f t="shared" si="20"/>
        <v>1406227.15</v>
      </c>
      <c r="G41" s="13">
        <v>1406227.15</v>
      </c>
      <c r="H41" s="13"/>
      <c r="I41" s="13"/>
      <c r="J41" s="13"/>
      <c r="K41" s="13"/>
      <c r="L41" s="13"/>
      <c r="M41" s="13"/>
      <c r="N41" s="13"/>
      <c r="O41" s="13"/>
      <c r="P41" s="13"/>
      <c r="Q41" s="13"/>
      <c r="R41" s="13"/>
      <c r="S41" s="13"/>
      <c r="T41" s="18"/>
      <c r="U41" s="112"/>
      <c r="V41" s="18"/>
    </row>
    <row r="42" spans="1:22" ht="34.5" customHeight="1" x14ac:dyDescent="0.25">
      <c r="A42" s="42" t="s">
        <v>24</v>
      </c>
      <c r="B42" s="40" t="s">
        <v>100</v>
      </c>
      <c r="C42" s="125" t="s">
        <v>49</v>
      </c>
      <c r="D42" s="67">
        <v>22605</v>
      </c>
      <c r="E42" s="125" t="s">
        <v>110</v>
      </c>
      <c r="F42" s="13">
        <f t="shared" si="20"/>
        <v>26358.13</v>
      </c>
      <c r="G42" s="13">
        <v>26358.13</v>
      </c>
      <c r="H42" s="13"/>
      <c r="I42" s="13"/>
      <c r="J42" s="13"/>
      <c r="K42" s="13"/>
      <c r="L42" s="13"/>
      <c r="M42" s="13"/>
      <c r="N42" s="13"/>
      <c r="O42" s="13"/>
      <c r="P42" s="13"/>
      <c r="Q42" s="13"/>
      <c r="R42" s="13"/>
      <c r="S42" s="13"/>
      <c r="T42" s="18"/>
      <c r="U42" s="112"/>
      <c r="V42" s="18"/>
    </row>
    <row r="43" spans="1:22" ht="51" customHeight="1" x14ac:dyDescent="0.25">
      <c r="A43" s="42" t="s">
        <v>116</v>
      </c>
      <c r="B43" s="40" t="s">
        <v>100</v>
      </c>
      <c r="C43" s="125" t="s">
        <v>50</v>
      </c>
      <c r="D43" s="67">
        <v>22606</v>
      </c>
      <c r="E43" s="125" t="s">
        <v>110</v>
      </c>
      <c r="F43" s="13">
        <f t="shared" si="20"/>
        <v>0</v>
      </c>
      <c r="G43" s="154">
        <v>0</v>
      </c>
      <c r="H43" s="13"/>
      <c r="I43" s="13"/>
      <c r="J43" s="13"/>
      <c r="K43" s="13"/>
      <c r="L43" s="13"/>
      <c r="M43" s="13"/>
      <c r="N43" s="13"/>
      <c r="O43" s="13"/>
      <c r="P43" s="13"/>
      <c r="Q43" s="13"/>
      <c r="R43" s="13"/>
      <c r="S43" s="13"/>
      <c r="T43" s="18"/>
      <c r="U43" s="112"/>
      <c r="V43" s="18"/>
    </row>
    <row r="44" spans="1:22" ht="49.5" customHeight="1" x14ac:dyDescent="0.25">
      <c r="A44" s="42" t="s">
        <v>117</v>
      </c>
      <c r="B44" s="40" t="s">
        <v>100</v>
      </c>
      <c r="C44" s="125" t="s">
        <v>50</v>
      </c>
      <c r="D44" s="67">
        <v>22699</v>
      </c>
      <c r="E44" s="125" t="s">
        <v>110</v>
      </c>
      <c r="F44" s="13">
        <f t="shared" si="20"/>
        <v>31629.75</v>
      </c>
      <c r="G44" s="154">
        <v>31629.75</v>
      </c>
      <c r="H44" s="13"/>
      <c r="I44" s="13"/>
      <c r="J44" s="13"/>
      <c r="K44" s="13"/>
      <c r="L44" s="13"/>
      <c r="M44" s="13"/>
      <c r="N44" s="13"/>
      <c r="O44" s="13"/>
      <c r="P44" s="13"/>
      <c r="Q44" s="13"/>
      <c r="R44" s="13"/>
      <c r="S44" s="13"/>
      <c r="T44" s="18"/>
      <c r="U44" s="112"/>
      <c r="V44" s="18"/>
    </row>
    <row r="45" spans="1:22" ht="32.25" customHeight="1" x14ac:dyDescent="0.25">
      <c r="A45" s="42" t="s">
        <v>25</v>
      </c>
      <c r="B45" s="40" t="s">
        <v>100</v>
      </c>
      <c r="C45" s="125" t="s">
        <v>49</v>
      </c>
      <c r="D45" s="67">
        <v>22699</v>
      </c>
      <c r="E45" s="125" t="s">
        <v>110</v>
      </c>
      <c r="F45" s="13">
        <f t="shared" si="20"/>
        <v>364338.27</v>
      </c>
      <c r="G45" s="13">
        <v>264338.27</v>
      </c>
      <c r="H45" s="13">
        <f>100000</f>
        <v>100000</v>
      </c>
      <c r="I45" s="13"/>
      <c r="J45" s="13"/>
      <c r="K45" s="13"/>
      <c r="L45" s="13"/>
      <c r="M45" s="13"/>
      <c r="N45" s="13"/>
      <c r="O45" s="13"/>
      <c r="P45" s="13"/>
      <c r="Q45" s="13"/>
      <c r="R45" s="13"/>
      <c r="S45" s="13"/>
      <c r="T45" s="36"/>
      <c r="U45" s="112"/>
      <c r="V45" s="36"/>
    </row>
    <row r="46" spans="1:22" ht="28.5" customHeight="1" x14ac:dyDescent="0.3">
      <c r="A46" s="872" t="s">
        <v>499</v>
      </c>
      <c r="B46" s="873"/>
      <c r="C46" s="873"/>
      <c r="D46" s="874">
        <v>26300</v>
      </c>
      <c r="E46" s="875"/>
      <c r="F46" s="45">
        <f t="shared" ref="F46" si="25">SUM(F47)</f>
        <v>0</v>
      </c>
      <c r="G46" s="45">
        <f t="shared" ref="G46" si="26">SUM(G47)</f>
        <v>0</v>
      </c>
      <c r="H46" s="45">
        <f t="shared" ref="H46" si="27">SUM(H47)</f>
        <v>0</v>
      </c>
      <c r="I46" s="45">
        <f t="shared" ref="I46:N46" si="28">I47</f>
        <v>0</v>
      </c>
      <c r="J46" s="45">
        <f t="shared" si="28"/>
        <v>0</v>
      </c>
      <c r="K46" s="45">
        <f t="shared" si="28"/>
        <v>0</v>
      </c>
      <c r="L46" s="45">
        <f t="shared" si="28"/>
        <v>0</v>
      </c>
      <c r="M46" s="45">
        <f t="shared" si="28"/>
        <v>0</v>
      </c>
      <c r="N46" s="45">
        <f t="shared" si="28"/>
        <v>0</v>
      </c>
      <c r="O46" s="45">
        <f t="shared" ref="O46:Q46" si="29">SUM(O47)</f>
        <v>0</v>
      </c>
      <c r="P46" s="45">
        <f t="shared" si="29"/>
        <v>0</v>
      </c>
      <c r="Q46" s="45">
        <f t="shared" si="29"/>
        <v>0</v>
      </c>
      <c r="R46" s="45">
        <f t="shared" ref="R46:T46" si="30">SUM(R47:R49)</f>
        <v>0</v>
      </c>
      <c r="S46" s="45">
        <f t="shared" si="30"/>
        <v>0</v>
      </c>
      <c r="T46" s="46">
        <f t="shared" si="30"/>
        <v>0</v>
      </c>
      <c r="U46" s="45">
        <f t="shared" ref="U46:V46" si="31">SUM(U47:U49)</f>
        <v>0</v>
      </c>
      <c r="V46" s="46">
        <f t="shared" si="31"/>
        <v>0</v>
      </c>
    </row>
    <row r="47" spans="1:22" ht="21.75" customHeight="1" x14ac:dyDescent="0.25">
      <c r="A47" s="42" t="s">
        <v>500</v>
      </c>
      <c r="B47" s="40" t="s">
        <v>100</v>
      </c>
      <c r="C47" s="125" t="s">
        <v>281</v>
      </c>
      <c r="D47" s="67">
        <v>26300</v>
      </c>
      <c r="E47" s="125" t="s">
        <v>501</v>
      </c>
      <c r="F47" s="13">
        <f>SUM(G47:T47)</f>
        <v>0</v>
      </c>
      <c r="G47" s="13">
        <v>0</v>
      </c>
      <c r="H47" s="13"/>
      <c r="I47" s="13"/>
      <c r="J47" s="13"/>
      <c r="K47" s="13"/>
      <c r="L47" s="13"/>
      <c r="M47" s="13"/>
      <c r="N47" s="13"/>
      <c r="O47" s="13"/>
      <c r="P47" s="13"/>
      <c r="Q47" s="13"/>
      <c r="R47" s="13"/>
      <c r="S47" s="13"/>
      <c r="T47" s="18"/>
      <c r="U47" s="13"/>
      <c r="V47" s="18"/>
    </row>
    <row r="48" spans="1:22" ht="28.5" customHeight="1" x14ac:dyDescent="0.3">
      <c r="A48" s="872" t="s">
        <v>121</v>
      </c>
      <c r="B48" s="873"/>
      <c r="C48" s="873"/>
      <c r="D48" s="874">
        <v>266</v>
      </c>
      <c r="E48" s="875"/>
      <c r="F48" s="45">
        <f>SUM(G48:T48)</f>
        <v>90275.73</v>
      </c>
      <c r="G48" s="45">
        <f t="shared" ref="G48" si="32">SUM(G49:G50)</f>
        <v>90275.73</v>
      </c>
      <c r="H48" s="45">
        <f t="shared" ref="H48" si="33">SUM(H49:H50)</f>
        <v>0</v>
      </c>
      <c r="I48" s="45">
        <f t="shared" ref="I48:V48" si="34">SUM(I49:I50)</f>
        <v>0</v>
      </c>
      <c r="J48" s="45">
        <f t="shared" si="34"/>
        <v>0</v>
      </c>
      <c r="K48" s="45">
        <f t="shared" si="34"/>
        <v>0</v>
      </c>
      <c r="L48" s="45">
        <f t="shared" si="34"/>
        <v>0</v>
      </c>
      <c r="M48" s="45">
        <f t="shared" si="34"/>
        <v>0</v>
      </c>
      <c r="N48" s="45">
        <f t="shared" si="34"/>
        <v>0</v>
      </c>
      <c r="O48" s="45">
        <f t="shared" si="34"/>
        <v>0</v>
      </c>
      <c r="P48" s="45">
        <f t="shared" si="34"/>
        <v>0</v>
      </c>
      <c r="Q48" s="45">
        <f t="shared" si="34"/>
        <v>0</v>
      </c>
      <c r="R48" s="45">
        <f t="shared" si="34"/>
        <v>0</v>
      </c>
      <c r="S48" s="45">
        <f t="shared" si="34"/>
        <v>0</v>
      </c>
      <c r="T48" s="46">
        <f t="shared" si="34"/>
        <v>0</v>
      </c>
      <c r="U48" s="115">
        <f t="shared" si="34"/>
        <v>0</v>
      </c>
      <c r="V48" s="46">
        <f t="shared" si="34"/>
        <v>0</v>
      </c>
    </row>
    <row r="49" spans="1:22" ht="39.75" customHeight="1" x14ac:dyDescent="0.25">
      <c r="A49" s="42" t="s">
        <v>118</v>
      </c>
      <c r="B49" s="40" t="s">
        <v>96</v>
      </c>
      <c r="C49" s="125" t="s">
        <v>47</v>
      </c>
      <c r="D49" s="67">
        <v>26600</v>
      </c>
      <c r="E49" s="125" t="s">
        <v>91</v>
      </c>
      <c r="F49" s="13">
        <f>SUM(G49:T49)</f>
        <v>0</v>
      </c>
      <c r="G49" s="154">
        <v>0</v>
      </c>
      <c r="H49" s="13"/>
      <c r="I49" s="13"/>
      <c r="J49" s="13"/>
      <c r="K49" s="13"/>
      <c r="L49" s="13"/>
      <c r="M49" s="13"/>
      <c r="N49" s="13"/>
      <c r="O49" s="13"/>
      <c r="P49" s="13"/>
      <c r="Q49" s="13"/>
      <c r="R49" s="13"/>
      <c r="S49" s="13"/>
      <c r="T49" s="18"/>
      <c r="U49" s="112"/>
      <c r="V49" s="18"/>
    </row>
    <row r="50" spans="1:22" ht="54.75" customHeight="1" x14ac:dyDescent="0.25">
      <c r="A50" s="42" t="s">
        <v>120</v>
      </c>
      <c r="B50" s="40" t="s">
        <v>99</v>
      </c>
      <c r="C50" s="125" t="s">
        <v>50</v>
      </c>
      <c r="D50" s="67">
        <v>26602</v>
      </c>
      <c r="E50" s="125" t="s">
        <v>91</v>
      </c>
      <c r="F50" s="13">
        <f>SUM(G50:T50)</f>
        <v>90275.73</v>
      </c>
      <c r="G50" s="154">
        <f>90275.73</f>
        <v>90275.73</v>
      </c>
      <c r="H50" s="13"/>
      <c r="I50" s="13"/>
      <c r="J50" s="13"/>
      <c r="K50" s="13"/>
      <c r="L50" s="13"/>
      <c r="M50" s="13"/>
      <c r="N50" s="13"/>
      <c r="O50" s="13"/>
      <c r="P50" s="13"/>
      <c r="Q50" s="13"/>
      <c r="R50" s="13"/>
      <c r="S50" s="13"/>
      <c r="T50" s="18"/>
      <c r="U50" s="112"/>
      <c r="V50" s="18"/>
    </row>
    <row r="51" spans="1:22" s="1" customFormat="1" ht="26.25" customHeight="1" x14ac:dyDescent="0.3">
      <c r="A51" s="864" t="s">
        <v>31</v>
      </c>
      <c r="B51" s="865"/>
      <c r="C51" s="865"/>
      <c r="D51" s="874">
        <v>290</v>
      </c>
      <c r="E51" s="875"/>
      <c r="F51" s="45">
        <f>SUM(F52:F57)</f>
        <v>192594.62</v>
      </c>
      <c r="G51" s="45">
        <f>SUM(G52:G57)</f>
        <v>192594.62</v>
      </c>
      <c r="H51" s="45">
        <f t="shared" ref="H51" si="35">SUM(H52:H57)</f>
        <v>0</v>
      </c>
      <c r="I51" s="45">
        <f t="shared" ref="I51:T51" si="36">SUM(I52:I57)</f>
        <v>0</v>
      </c>
      <c r="J51" s="45">
        <f t="shared" si="36"/>
        <v>0</v>
      </c>
      <c r="K51" s="45">
        <f t="shared" si="36"/>
        <v>0</v>
      </c>
      <c r="L51" s="45">
        <f t="shared" si="36"/>
        <v>0</v>
      </c>
      <c r="M51" s="45">
        <f t="shared" si="36"/>
        <v>0</v>
      </c>
      <c r="N51" s="45">
        <f t="shared" si="36"/>
        <v>0</v>
      </c>
      <c r="O51" s="45">
        <f t="shared" si="36"/>
        <v>0</v>
      </c>
      <c r="P51" s="45">
        <f t="shared" si="36"/>
        <v>0</v>
      </c>
      <c r="Q51" s="45">
        <f t="shared" si="36"/>
        <v>0</v>
      </c>
      <c r="R51" s="45">
        <f t="shared" si="36"/>
        <v>0</v>
      </c>
      <c r="S51" s="45">
        <f t="shared" si="36"/>
        <v>0</v>
      </c>
      <c r="T51" s="46">
        <f t="shared" si="36"/>
        <v>0</v>
      </c>
      <c r="U51" s="45">
        <f t="shared" ref="U51:V51" si="37">SUM(U52:U57)</f>
        <v>0</v>
      </c>
      <c r="V51" s="46">
        <f t="shared" si="37"/>
        <v>0</v>
      </c>
    </row>
    <row r="52" spans="1:22" ht="30.75" customHeight="1" x14ac:dyDescent="0.25">
      <c r="A52" s="27" t="s">
        <v>513</v>
      </c>
      <c r="B52" s="40" t="s">
        <v>100</v>
      </c>
      <c r="C52" s="915" t="s">
        <v>51</v>
      </c>
      <c r="D52" s="67">
        <v>29101</v>
      </c>
      <c r="E52" s="915" t="s">
        <v>123</v>
      </c>
      <c r="F52" s="13">
        <f>SUM(G52:Q52)</f>
        <v>160257.41</v>
      </c>
      <c r="G52" s="154">
        <v>160257.41</v>
      </c>
      <c r="H52" s="13"/>
      <c r="I52" s="13"/>
      <c r="J52" s="13"/>
      <c r="K52" s="13"/>
      <c r="L52" s="13"/>
      <c r="M52" s="13"/>
      <c r="N52" s="13"/>
      <c r="O52" s="13"/>
      <c r="P52" s="13"/>
      <c r="Q52" s="13"/>
      <c r="R52" s="30"/>
      <c r="S52" s="30"/>
      <c r="T52" s="29"/>
      <c r="U52" s="13"/>
      <c r="V52" s="13"/>
    </row>
    <row r="53" spans="1:22" ht="30.75" customHeight="1" x14ac:dyDescent="0.25">
      <c r="A53" s="27" t="s">
        <v>514</v>
      </c>
      <c r="B53" s="40" t="s">
        <v>100</v>
      </c>
      <c r="C53" s="916"/>
      <c r="D53" s="67">
        <v>29102</v>
      </c>
      <c r="E53" s="916"/>
      <c r="F53" s="13">
        <f>SUM(G53:T53)</f>
        <v>27065.58</v>
      </c>
      <c r="G53" s="154">
        <v>27065.58</v>
      </c>
      <c r="H53" s="13"/>
      <c r="I53" s="13"/>
      <c r="J53" s="13"/>
      <c r="K53" s="13"/>
      <c r="L53" s="13"/>
      <c r="M53" s="13"/>
      <c r="N53" s="13"/>
      <c r="O53" s="13"/>
      <c r="P53" s="13"/>
      <c r="Q53" s="13"/>
      <c r="R53" s="13"/>
      <c r="S53" s="13"/>
      <c r="T53" s="18"/>
      <c r="U53" s="13"/>
      <c r="V53" s="13"/>
    </row>
    <row r="54" spans="1:22" ht="30.75" customHeight="1" x14ac:dyDescent="0.25">
      <c r="A54" s="27" t="s">
        <v>542</v>
      </c>
      <c r="B54" s="40" t="s">
        <v>100</v>
      </c>
      <c r="C54" s="125" t="s">
        <v>52</v>
      </c>
      <c r="D54" s="67">
        <v>29104</v>
      </c>
      <c r="E54" s="125" t="s">
        <v>123</v>
      </c>
      <c r="F54" s="13">
        <f>SUM(G54:T54)</f>
        <v>0</v>
      </c>
      <c r="G54" s="13">
        <v>0</v>
      </c>
      <c r="H54" s="13"/>
      <c r="I54" s="13"/>
      <c r="J54" s="13"/>
      <c r="K54" s="13"/>
      <c r="L54" s="13"/>
      <c r="M54" s="13"/>
      <c r="N54" s="13"/>
      <c r="O54" s="13"/>
      <c r="P54" s="13"/>
      <c r="Q54" s="13"/>
      <c r="R54" s="13"/>
      <c r="S54" s="13"/>
      <c r="T54" s="18"/>
      <c r="U54" s="13"/>
      <c r="V54" s="13"/>
    </row>
    <row r="55" spans="1:22" ht="31.5" customHeight="1" x14ac:dyDescent="0.25">
      <c r="A55" s="58" t="s">
        <v>125</v>
      </c>
      <c r="B55" s="40" t="s">
        <v>100</v>
      </c>
      <c r="C55" s="125" t="s">
        <v>53</v>
      </c>
      <c r="D55" s="67">
        <v>29001</v>
      </c>
      <c r="E55" s="125" t="s">
        <v>127</v>
      </c>
      <c r="F55" s="13">
        <f>SUM(G55:T55)</f>
        <v>0</v>
      </c>
      <c r="G55" s="13">
        <v>0</v>
      </c>
      <c r="H55" s="13"/>
      <c r="I55" s="13"/>
      <c r="J55" s="13"/>
      <c r="K55" s="13"/>
      <c r="L55" s="13"/>
      <c r="M55" s="13"/>
      <c r="N55" s="13"/>
      <c r="O55" s="13"/>
      <c r="P55" s="13"/>
      <c r="Q55" s="13"/>
      <c r="R55" s="13"/>
      <c r="S55" s="13"/>
      <c r="T55" s="18"/>
      <c r="U55" s="13"/>
      <c r="V55" s="13"/>
    </row>
    <row r="56" spans="1:22" ht="38.25" customHeight="1" x14ac:dyDescent="0.25">
      <c r="A56" s="58" t="s">
        <v>126</v>
      </c>
      <c r="B56" s="40" t="s">
        <v>100</v>
      </c>
      <c r="C56" s="125" t="s">
        <v>53</v>
      </c>
      <c r="D56" s="67">
        <v>29001</v>
      </c>
      <c r="E56" s="125" t="s">
        <v>128</v>
      </c>
      <c r="F56" s="13">
        <f>SUM(G56:T56)</f>
        <v>5271.63</v>
      </c>
      <c r="G56" s="316">
        <v>5271.63</v>
      </c>
      <c r="H56" s="13"/>
      <c r="I56" s="13"/>
      <c r="J56" s="13"/>
      <c r="K56" s="13"/>
      <c r="L56" s="13"/>
      <c r="M56" s="13"/>
      <c r="N56" s="13"/>
      <c r="O56" s="13"/>
      <c r="P56" s="13"/>
      <c r="Q56" s="13"/>
      <c r="R56" s="13"/>
      <c r="S56" s="13"/>
      <c r="T56" s="18"/>
      <c r="U56" s="13"/>
      <c r="V56" s="13"/>
    </row>
    <row r="57" spans="1:22" ht="34.5" customHeight="1" x14ac:dyDescent="0.25">
      <c r="A57" s="59" t="s">
        <v>130</v>
      </c>
      <c r="B57" s="40" t="s">
        <v>100</v>
      </c>
      <c r="C57" s="125" t="s">
        <v>53</v>
      </c>
      <c r="D57" s="67">
        <v>29001</v>
      </c>
      <c r="E57" s="125" t="s">
        <v>129</v>
      </c>
      <c r="F57" s="13">
        <f>SUM(G57:T57)</f>
        <v>0</v>
      </c>
      <c r="G57" s="13">
        <v>0</v>
      </c>
      <c r="H57" s="13"/>
      <c r="I57" s="13"/>
      <c r="J57" s="13"/>
      <c r="K57" s="13"/>
      <c r="L57" s="13"/>
      <c r="M57" s="13"/>
      <c r="N57" s="13"/>
      <c r="O57" s="13"/>
      <c r="P57" s="13"/>
      <c r="Q57" s="13"/>
      <c r="R57" s="13"/>
      <c r="S57" s="13"/>
      <c r="T57" s="18"/>
      <c r="U57" s="13"/>
      <c r="V57" s="13"/>
    </row>
    <row r="58" spans="1:22" ht="36" customHeight="1" x14ac:dyDescent="0.3">
      <c r="A58" s="872" t="s">
        <v>131</v>
      </c>
      <c r="B58" s="873"/>
      <c r="C58" s="873"/>
      <c r="D58" s="902">
        <v>300</v>
      </c>
      <c r="E58" s="903"/>
      <c r="F58" s="45">
        <f>F59+F64</f>
        <v>2964301.02</v>
      </c>
      <c r="G58" s="45">
        <f>G59+G64</f>
        <v>340074.22000000003</v>
      </c>
      <c r="H58" s="45">
        <f t="shared" ref="H58" si="38">H59+H64</f>
        <v>1509300</v>
      </c>
      <c r="I58" s="45">
        <f t="shared" ref="I58:T58" si="39">I59+I64</f>
        <v>0</v>
      </c>
      <c r="J58" s="45">
        <f t="shared" si="39"/>
        <v>0</v>
      </c>
      <c r="K58" s="45">
        <f t="shared" si="39"/>
        <v>0</v>
      </c>
      <c r="L58" s="45">
        <f t="shared" si="39"/>
        <v>0</v>
      </c>
      <c r="M58" s="45">
        <f t="shared" si="39"/>
        <v>0</v>
      </c>
      <c r="N58" s="45">
        <f t="shared" si="39"/>
        <v>0</v>
      </c>
      <c r="O58" s="45">
        <f t="shared" si="39"/>
        <v>1019898</v>
      </c>
      <c r="P58" s="45">
        <f t="shared" si="39"/>
        <v>0</v>
      </c>
      <c r="Q58" s="45">
        <f t="shared" si="39"/>
        <v>0</v>
      </c>
      <c r="R58" s="45">
        <f t="shared" si="39"/>
        <v>0</v>
      </c>
      <c r="S58" s="45">
        <f t="shared" si="39"/>
        <v>68896.800000000003</v>
      </c>
      <c r="T58" s="46">
        <f t="shared" si="39"/>
        <v>26132</v>
      </c>
      <c r="U58" s="115">
        <f t="shared" ref="U58:V58" si="40">U59+U64</f>
        <v>0</v>
      </c>
      <c r="V58" s="46">
        <f t="shared" si="40"/>
        <v>0</v>
      </c>
    </row>
    <row r="59" spans="1:22" ht="30.75" customHeight="1" x14ac:dyDescent="0.3">
      <c r="A59" s="857" t="s">
        <v>13</v>
      </c>
      <c r="B59" s="858"/>
      <c r="C59" s="859"/>
      <c r="D59" s="860">
        <v>310</v>
      </c>
      <c r="E59" s="861"/>
      <c r="F59" s="44">
        <f>SUM(G59:T59)</f>
        <v>1349805</v>
      </c>
      <c r="G59" s="44">
        <f>SUM(G60:G63)</f>
        <v>112340</v>
      </c>
      <c r="H59" s="44">
        <f t="shared" ref="H59" si="41">SUM(H60:H63)</f>
        <v>1237465</v>
      </c>
      <c r="I59" s="44">
        <f t="shared" ref="I59:T59" si="42">SUM(I60:I63)</f>
        <v>0</v>
      </c>
      <c r="J59" s="44">
        <f t="shared" si="42"/>
        <v>0</v>
      </c>
      <c r="K59" s="44">
        <f>SUM(K60:K63)</f>
        <v>0</v>
      </c>
      <c r="L59" s="44">
        <f>SUM(L60:L63)</f>
        <v>0</v>
      </c>
      <c r="M59" s="44">
        <f>SUM(M60:M63)</f>
        <v>0</v>
      </c>
      <c r="N59" s="44">
        <f>SUM(N60:N63)</f>
        <v>0</v>
      </c>
      <c r="O59" s="44">
        <f>SUM(O60:O63)</f>
        <v>0</v>
      </c>
      <c r="P59" s="44">
        <f t="shared" si="42"/>
        <v>0</v>
      </c>
      <c r="Q59" s="44">
        <f t="shared" si="42"/>
        <v>0</v>
      </c>
      <c r="R59" s="44">
        <f t="shared" si="42"/>
        <v>0</v>
      </c>
      <c r="S59" s="44">
        <f t="shared" si="42"/>
        <v>0</v>
      </c>
      <c r="T59" s="50">
        <f t="shared" si="42"/>
        <v>0</v>
      </c>
      <c r="U59" s="113">
        <f t="shared" ref="U59:V59" si="43">SUM(U60:U63)</f>
        <v>0</v>
      </c>
      <c r="V59" s="50">
        <f t="shared" si="43"/>
        <v>0</v>
      </c>
    </row>
    <row r="60" spans="1:22" ht="27.75" customHeight="1" x14ac:dyDescent="0.25">
      <c r="A60" s="16" t="s">
        <v>132</v>
      </c>
      <c r="B60" s="40" t="s">
        <v>133</v>
      </c>
      <c r="C60" s="125" t="s">
        <v>49</v>
      </c>
      <c r="D60" s="67">
        <v>31003</v>
      </c>
      <c r="E60" s="125" t="s">
        <v>61</v>
      </c>
      <c r="F60" s="13">
        <f>SUM(G60:T60)</f>
        <v>632000</v>
      </c>
      <c r="G60" s="13">
        <f>0</f>
        <v>0</v>
      </c>
      <c r="H60" s="13">
        <f>4000*158</f>
        <v>632000</v>
      </c>
      <c r="I60" s="13"/>
      <c r="J60" s="13"/>
      <c r="K60" s="13"/>
      <c r="L60" s="13"/>
      <c r="M60" s="13"/>
      <c r="N60" s="13"/>
      <c r="O60" s="13"/>
      <c r="P60" s="13"/>
      <c r="Q60" s="13"/>
      <c r="R60" s="13"/>
      <c r="S60" s="13"/>
      <c r="T60" s="18"/>
      <c r="U60" s="112"/>
      <c r="V60" s="18"/>
    </row>
    <row r="61" spans="1:22" ht="25.5" customHeight="1" x14ac:dyDescent="0.25">
      <c r="A61" s="16" t="s">
        <v>6</v>
      </c>
      <c r="B61" s="40" t="s">
        <v>133</v>
      </c>
      <c r="C61" s="125" t="s">
        <v>49</v>
      </c>
      <c r="D61" s="67">
        <v>31004</v>
      </c>
      <c r="E61" s="125" t="s">
        <v>61</v>
      </c>
      <c r="F61" s="13">
        <f>SUM(G61:T61)</f>
        <v>0</v>
      </c>
      <c r="G61" s="13">
        <f>0</f>
        <v>0</v>
      </c>
      <c r="H61" s="13">
        <f>60000-60000</f>
        <v>0</v>
      </c>
      <c r="I61" s="13"/>
      <c r="J61" s="13"/>
      <c r="K61" s="13"/>
      <c r="L61" s="13"/>
      <c r="M61" s="13"/>
      <c r="N61" s="13"/>
      <c r="O61" s="13"/>
      <c r="P61" s="13"/>
      <c r="Q61" s="13"/>
      <c r="R61" s="13"/>
      <c r="S61" s="13"/>
      <c r="T61" s="18"/>
      <c r="U61" s="112"/>
      <c r="V61" s="18"/>
    </row>
    <row r="62" spans="1:22" ht="28.5" customHeight="1" x14ac:dyDescent="0.25">
      <c r="A62" s="16" t="s">
        <v>7</v>
      </c>
      <c r="B62" s="40" t="s">
        <v>133</v>
      </c>
      <c r="C62" s="125" t="s">
        <v>49</v>
      </c>
      <c r="D62" s="67">
        <v>31005</v>
      </c>
      <c r="E62" s="125" t="s">
        <v>61</v>
      </c>
      <c r="F62" s="13">
        <f>SUM(G62:T62)</f>
        <v>400265</v>
      </c>
      <c r="G62" s="13">
        <f>60000</f>
        <v>60000</v>
      </c>
      <c r="H62" s="13">
        <v>340265</v>
      </c>
      <c r="I62" s="13"/>
      <c r="J62" s="13"/>
      <c r="K62" s="13"/>
      <c r="L62" s="13"/>
      <c r="M62" s="13"/>
      <c r="N62" s="13"/>
      <c r="O62" s="13"/>
      <c r="P62" s="13"/>
      <c r="Q62" s="13"/>
      <c r="R62" s="13"/>
      <c r="S62" s="13"/>
      <c r="T62" s="18"/>
      <c r="U62" s="112"/>
      <c r="V62" s="18"/>
    </row>
    <row r="63" spans="1:22" ht="36.75" customHeight="1" x14ac:dyDescent="0.25">
      <c r="A63" s="16" t="s">
        <v>8</v>
      </c>
      <c r="B63" s="40" t="s">
        <v>133</v>
      </c>
      <c r="C63" s="125" t="s">
        <v>49</v>
      </c>
      <c r="D63" s="67">
        <v>31099</v>
      </c>
      <c r="E63" s="125" t="s">
        <v>61</v>
      </c>
      <c r="F63" s="13">
        <f>SUM(G63:T63)</f>
        <v>317540</v>
      </c>
      <c r="G63" s="13">
        <f>52340</f>
        <v>52340</v>
      </c>
      <c r="H63" s="13">
        <f>265200</f>
        <v>265200</v>
      </c>
      <c r="I63" s="13"/>
      <c r="J63" s="13"/>
      <c r="K63" s="13"/>
      <c r="L63" s="13"/>
      <c r="M63" s="13"/>
      <c r="N63" s="13"/>
      <c r="O63" s="13"/>
      <c r="P63" s="13"/>
      <c r="Q63" s="13"/>
      <c r="R63" s="13"/>
      <c r="S63" s="13"/>
      <c r="T63" s="18"/>
      <c r="U63" s="112"/>
      <c r="V63" s="18"/>
    </row>
    <row r="64" spans="1:22" ht="39.75" customHeight="1" x14ac:dyDescent="0.3">
      <c r="A64" s="857" t="s">
        <v>14</v>
      </c>
      <c r="B64" s="858"/>
      <c r="C64" s="859"/>
      <c r="D64" s="860">
        <v>340</v>
      </c>
      <c r="E64" s="861"/>
      <c r="F64" s="44">
        <f>F65+F66+F67+F68+F69+F70</f>
        <v>1614496.02</v>
      </c>
      <c r="G64" s="44">
        <f>G65+G66+G67+G68+G69+G70</f>
        <v>227734.22000000003</v>
      </c>
      <c r="H64" s="44">
        <f t="shared" ref="H64" si="44">H65+H66+H67+H68+H69+H70</f>
        <v>271835</v>
      </c>
      <c r="I64" s="44">
        <f t="shared" ref="I64:T64" si="45">I65+I66+I67+I68+I69+I70</f>
        <v>0</v>
      </c>
      <c r="J64" s="44">
        <f t="shared" si="45"/>
        <v>0</v>
      </c>
      <c r="K64" s="44">
        <f t="shared" si="45"/>
        <v>0</v>
      </c>
      <c r="L64" s="44">
        <f t="shared" si="45"/>
        <v>0</v>
      </c>
      <c r="M64" s="44">
        <f t="shared" si="45"/>
        <v>0</v>
      </c>
      <c r="N64" s="44">
        <f t="shared" si="45"/>
        <v>0</v>
      </c>
      <c r="O64" s="44">
        <f t="shared" si="45"/>
        <v>1019898</v>
      </c>
      <c r="P64" s="44">
        <f t="shared" si="45"/>
        <v>0</v>
      </c>
      <c r="Q64" s="44">
        <f t="shared" si="45"/>
        <v>0</v>
      </c>
      <c r="R64" s="44">
        <f t="shared" si="45"/>
        <v>0</v>
      </c>
      <c r="S64" s="44">
        <f t="shared" si="45"/>
        <v>68896.800000000003</v>
      </c>
      <c r="T64" s="50">
        <f t="shared" si="45"/>
        <v>26132</v>
      </c>
      <c r="U64" s="113">
        <f t="shared" ref="U64:V64" si="46">U65+U66+U67+U68+U69+U70</f>
        <v>0</v>
      </c>
      <c r="V64" s="50">
        <f t="shared" si="46"/>
        <v>0</v>
      </c>
    </row>
    <row r="65" spans="1:22" ht="31.5" customHeight="1" x14ac:dyDescent="0.25">
      <c r="A65" s="42" t="s">
        <v>3</v>
      </c>
      <c r="B65" s="40" t="s">
        <v>100</v>
      </c>
      <c r="C65" s="125" t="s">
        <v>49</v>
      </c>
      <c r="D65" s="67">
        <v>34001</v>
      </c>
      <c r="E65" s="125" t="s">
        <v>82</v>
      </c>
      <c r="F65" s="13">
        <f>SUM(G65:T65)</f>
        <v>3162.98</v>
      </c>
      <c r="G65" s="13">
        <v>3162.98</v>
      </c>
      <c r="H65" s="13"/>
      <c r="I65" s="13"/>
      <c r="J65" s="13"/>
      <c r="K65" s="13"/>
      <c r="L65" s="13"/>
      <c r="M65" s="13"/>
      <c r="N65" s="13"/>
      <c r="O65" s="13"/>
      <c r="P65" s="13"/>
      <c r="Q65" s="13"/>
      <c r="R65" s="33"/>
      <c r="S65" s="33"/>
      <c r="T65" s="18"/>
      <c r="U65" s="118"/>
      <c r="V65" s="18">
        <f>525-525</f>
        <v>0</v>
      </c>
    </row>
    <row r="66" spans="1:22" ht="24.75" customHeight="1" x14ac:dyDescent="0.25">
      <c r="A66" s="42" t="s">
        <v>1</v>
      </c>
      <c r="B66" s="40" t="s">
        <v>100</v>
      </c>
      <c r="C66" s="125" t="s">
        <v>49</v>
      </c>
      <c r="D66" s="67">
        <v>34002</v>
      </c>
      <c r="E66" s="125" t="s">
        <v>83</v>
      </c>
      <c r="F66" s="13">
        <f>SUM(G66:T66)</f>
        <v>1114926.8</v>
      </c>
      <c r="G66" s="13">
        <v>0</v>
      </c>
      <c r="H66" s="13"/>
      <c r="I66" s="13"/>
      <c r="J66" s="13"/>
      <c r="K66" s="13"/>
      <c r="L66" s="13"/>
      <c r="M66" s="13"/>
      <c r="N66" s="13"/>
      <c r="O66" s="185">
        <f>1019898</f>
        <v>1019898</v>
      </c>
      <c r="P66" s="13"/>
      <c r="Q66" s="13"/>
      <c r="R66" s="13"/>
      <c r="S66" s="185">
        <f>68896.8</f>
        <v>68896.800000000003</v>
      </c>
      <c r="T66" s="317">
        <f>26132</f>
        <v>26132</v>
      </c>
      <c r="U66" s="112"/>
      <c r="V66" s="18"/>
    </row>
    <row r="67" spans="1:22" ht="24.75" customHeight="1" x14ac:dyDescent="0.25">
      <c r="A67" s="42" t="s">
        <v>134</v>
      </c>
      <c r="B67" s="40" t="s">
        <v>135</v>
      </c>
      <c r="C67" s="125" t="s">
        <v>49</v>
      </c>
      <c r="D67" s="67">
        <v>34002</v>
      </c>
      <c r="E67" s="125" t="s">
        <v>83</v>
      </c>
      <c r="F67" s="13">
        <f>SUM(G67:T67)</f>
        <v>0</v>
      </c>
      <c r="G67" s="155">
        <v>0</v>
      </c>
      <c r="H67" s="13"/>
      <c r="I67" s="13"/>
      <c r="J67" s="13"/>
      <c r="K67" s="13"/>
      <c r="L67" s="13"/>
      <c r="M67" s="13"/>
      <c r="N67" s="13"/>
      <c r="O67" s="13"/>
      <c r="P67" s="13"/>
      <c r="Q67" s="13"/>
      <c r="R67" s="13"/>
      <c r="S67" s="13"/>
      <c r="T67" s="18"/>
      <c r="U67" s="112"/>
      <c r="V67" s="18"/>
    </row>
    <row r="68" spans="1:22" ht="23.25" customHeight="1" x14ac:dyDescent="0.25">
      <c r="A68" s="42" t="s">
        <v>27</v>
      </c>
      <c r="B68" s="40" t="s">
        <v>100</v>
      </c>
      <c r="C68" s="125" t="s">
        <v>49</v>
      </c>
      <c r="D68" s="67">
        <v>34003</v>
      </c>
      <c r="E68" s="125" t="s">
        <v>84</v>
      </c>
      <c r="F68" s="13">
        <f>SUM(G68:T68)</f>
        <v>0</v>
      </c>
      <c r="G68" s="13">
        <v>0</v>
      </c>
      <c r="H68" s="13"/>
      <c r="I68" s="13"/>
      <c r="J68" s="13"/>
      <c r="K68" s="13"/>
      <c r="L68" s="13"/>
      <c r="M68" s="13"/>
      <c r="N68" s="13"/>
      <c r="O68" s="13"/>
      <c r="P68" s="13"/>
      <c r="Q68" s="13"/>
      <c r="R68" s="13"/>
      <c r="S68" s="13"/>
      <c r="T68" s="18"/>
      <c r="U68" s="112"/>
      <c r="V68" s="18"/>
    </row>
    <row r="69" spans="1:22" ht="24" customHeight="1" x14ac:dyDescent="0.25">
      <c r="A69" s="42" t="s">
        <v>28</v>
      </c>
      <c r="B69" s="40" t="s">
        <v>100</v>
      </c>
      <c r="C69" s="125" t="s">
        <v>49</v>
      </c>
      <c r="D69" s="67">
        <v>34004</v>
      </c>
      <c r="E69" s="125" t="s">
        <v>85</v>
      </c>
      <c r="F69" s="13">
        <f>SUM(G69:T69)</f>
        <v>21086.5</v>
      </c>
      <c r="G69" s="13">
        <v>21086.5</v>
      </c>
      <c r="H69" s="13"/>
      <c r="I69" s="13"/>
      <c r="J69" s="13"/>
      <c r="K69" s="13"/>
      <c r="L69" s="13"/>
      <c r="M69" s="13"/>
      <c r="N69" s="13"/>
      <c r="O69" s="13"/>
      <c r="P69" s="13"/>
      <c r="Q69" s="13"/>
      <c r="R69" s="13"/>
      <c r="S69" s="13"/>
      <c r="T69" s="18"/>
      <c r="U69" s="112"/>
      <c r="V69" s="18"/>
    </row>
    <row r="70" spans="1:22" ht="31.5" customHeight="1" x14ac:dyDescent="0.25">
      <c r="A70" s="895" t="s">
        <v>29</v>
      </c>
      <c r="B70" s="896"/>
      <c r="C70" s="897"/>
      <c r="D70" s="898">
        <v>34099</v>
      </c>
      <c r="E70" s="899"/>
      <c r="F70" s="32">
        <f>SUM(F71:F73)</f>
        <v>475319.74</v>
      </c>
      <c r="G70" s="32">
        <f>SUM(G71:G73)</f>
        <v>203484.74000000002</v>
      </c>
      <c r="H70" s="32">
        <f t="shared" ref="H70" si="47">SUM(H71:H73)</f>
        <v>271835</v>
      </c>
      <c r="I70" s="32">
        <f t="shared" ref="I70:T70" si="48">SUM(I71:I73)</f>
        <v>0</v>
      </c>
      <c r="J70" s="32">
        <f t="shared" si="48"/>
        <v>0</v>
      </c>
      <c r="K70" s="32">
        <f t="shared" si="48"/>
        <v>0</v>
      </c>
      <c r="L70" s="32">
        <f t="shared" si="48"/>
        <v>0</v>
      </c>
      <c r="M70" s="32">
        <f t="shared" si="48"/>
        <v>0</v>
      </c>
      <c r="N70" s="32">
        <f t="shared" si="48"/>
        <v>0</v>
      </c>
      <c r="O70" s="32">
        <f t="shared" si="48"/>
        <v>0</v>
      </c>
      <c r="P70" s="32">
        <f t="shared" si="48"/>
        <v>0</v>
      </c>
      <c r="Q70" s="32">
        <f t="shared" si="48"/>
        <v>0</v>
      </c>
      <c r="R70" s="32">
        <f t="shared" si="48"/>
        <v>0</v>
      </c>
      <c r="S70" s="32">
        <f t="shared" si="48"/>
        <v>0</v>
      </c>
      <c r="T70" s="55">
        <f t="shared" si="48"/>
        <v>0</v>
      </c>
      <c r="U70" s="119">
        <f t="shared" ref="U70:V70" si="49">SUM(U71:U73)</f>
        <v>0</v>
      </c>
      <c r="V70" s="55">
        <f t="shared" si="49"/>
        <v>0</v>
      </c>
    </row>
    <row r="71" spans="1:22" ht="30" customHeight="1" x14ac:dyDescent="0.25">
      <c r="A71" s="42" t="s">
        <v>136</v>
      </c>
      <c r="B71" s="40" t="s">
        <v>100</v>
      </c>
      <c r="C71" s="125" t="s">
        <v>49</v>
      </c>
      <c r="D71" s="67">
        <v>34099</v>
      </c>
      <c r="E71" s="125" t="s">
        <v>137</v>
      </c>
      <c r="F71" s="13">
        <f t="shared" ref="F71" si="50">SUM(G71:T71)</f>
        <v>10543.25</v>
      </c>
      <c r="G71" s="13">
        <v>10543.25</v>
      </c>
      <c r="H71" s="13"/>
      <c r="I71" s="13"/>
      <c r="J71" s="13"/>
      <c r="K71" s="13"/>
      <c r="L71" s="13"/>
      <c r="M71" s="13"/>
      <c r="N71" s="13"/>
      <c r="O71" s="13"/>
      <c r="P71" s="13"/>
      <c r="Q71" s="13"/>
      <c r="R71" s="13"/>
      <c r="S71" s="13"/>
      <c r="T71" s="18"/>
      <c r="U71" s="112"/>
      <c r="V71" s="18"/>
    </row>
    <row r="72" spans="1:22" ht="30" customHeight="1" x14ac:dyDescent="0.25">
      <c r="A72" s="42" t="s">
        <v>138</v>
      </c>
      <c r="B72" s="40" t="s">
        <v>100</v>
      </c>
      <c r="C72" s="125" t="s">
        <v>49</v>
      </c>
      <c r="D72" s="67">
        <v>34099</v>
      </c>
      <c r="E72" s="125" t="s">
        <v>86</v>
      </c>
      <c r="F72" s="13">
        <f>SUM(G72:T72)</f>
        <v>461613.51</v>
      </c>
      <c r="G72" s="13">
        <v>189778.51</v>
      </c>
      <c r="H72" s="13">
        <v>271835</v>
      </c>
      <c r="I72" s="13"/>
      <c r="J72" s="13"/>
      <c r="K72" s="13"/>
      <c r="L72" s="13"/>
      <c r="M72" s="13"/>
      <c r="N72" s="13"/>
      <c r="O72" s="13"/>
      <c r="P72" s="13"/>
      <c r="Q72" s="13"/>
      <c r="R72" s="13"/>
      <c r="S72" s="13"/>
      <c r="T72" s="186"/>
      <c r="U72" s="112"/>
      <c r="V72" s="18"/>
    </row>
    <row r="73" spans="1:22" ht="32.25" customHeight="1" thickBot="1" x14ac:dyDescent="0.3">
      <c r="A73" s="60" t="s">
        <v>88</v>
      </c>
      <c r="B73" s="61" t="s">
        <v>100</v>
      </c>
      <c r="C73" s="126" t="s">
        <v>49</v>
      </c>
      <c r="D73" s="62">
        <v>34099</v>
      </c>
      <c r="E73" s="126" t="s">
        <v>87</v>
      </c>
      <c r="F73" s="15">
        <f>SUM(G73:T73)</f>
        <v>3162.98</v>
      </c>
      <c r="G73" s="15">
        <v>3162.98</v>
      </c>
      <c r="H73" s="15"/>
      <c r="I73" s="15"/>
      <c r="J73" s="15"/>
      <c r="K73" s="15"/>
      <c r="L73" s="15"/>
      <c r="M73" s="15"/>
      <c r="N73" s="15"/>
      <c r="O73" s="15"/>
      <c r="P73" s="15"/>
      <c r="Q73" s="15"/>
      <c r="R73" s="63"/>
      <c r="S73" s="63"/>
      <c r="T73" s="19"/>
      <c r="U73" s="120"/>
      <c r="V73" s="19"/>
    </row>
    <row r="74" spans="1:22" ht="31.5" customHeight="1" thickBot="1" x14ac:dyDescent="0.35">
      <c r="A74" s="892" t="s">
        <v>498</v>
      </c>
      <c r="B74" s="893"/>
      <c r="C74" s="893"/>
      <c r="D74" s="893"/>
      <c r="E74" s="894"/>
      <c r="F74" s="147">
        <f>F21+F23+F24+F29+F37+F41+F42+F45+F58</f>
        <v>11422630.09</v>
      </c>
      <c r="G74" s="4"/>
      <c r="H74" s="4"/>
      <c r="I74" s="4"/>
      <c r="J74" s="4"/>
      <c r="K74" s="4"/>
      <c r="L74" s="4"/>
      <c r="M74" s="4"/>
      <c r="N74" s="4"/>
      <c r="O74" s="4"/>
      <c r="P74" s="4"/>
      <c r="Q74" s="4"/>
      <c r="R74" s="4"/>
      <c r="S74" s="4"/>
      <c r="T74" s="4"/>
      <c r="U74" s="4"/>
      <c r="V74" s="4"/>
    </row>
    <row r="75" spans="1:22" ht="31.5" customHeight="1" thickBot="1" x14ac:dyDescent="0.35">
      <c r="A75" s="892">
        <v>4</v>
      </c>
      <c r="B75" s="893"/>
      <c r="C75" s="893"/>
      <c r="D75" s="893"/>
      <c r="E75" s="894"/>
      <c r="F75" s="147">
        <f>F74-F76</f>
        <v>11327601.289999999</v>
      </c>
      <c r="G75" s="4"/>
      <c r="H75" s="4"/>
      <c r="I75" s="4"/>
      <c r="J75" s="4"/>
      <c r="K75" s="4"/>
      <c r="L75" s="4"/>
      <c r="M75" s="4"/>
      <c r="N75" s="4"/>
      <c r="O75" s="4"/>
      <c r="P75" s="4"/>
      <c r="Q75" s="4"/>
      <c r="R75" s="4"/>
      <c r="S75" s="4"/>
      <c r="T75" s="4"/>
    </row>
    <row r="76" spans="1:22" ht="31.5" customHeight="1" thickBot="1" x14ac:dyDescent="0.35">
      <c r="A76" s="892">
        <v>5</v>
      </c>
      <c r="B76" s="893"/>
      <c r="C76" s="893"/>
      <c r="D76" s="893"/>
      <c r="E76" s="894"/>
      <c r="F76" s="147">
        <f>R13+S13+T13-R14</f>
        <v>95028.800000000003</v>
      </c>
      <c r="G76" s="4"/>
      <c r="H76" s="4"/>
      <c r="I76" s="4"/>
      <c r="J76" s="4"/>
      <c r="K76" s="4"/>
      <c r="L76" s="4"/>
      <c r="M76" s="4"/>
      <c r="N76" s="4"/>
      <c r="O76" s="4"/>
      <c r="P76" s="4"/>
      <c r="Q76" s="4"/>
      <c r="R76" s="4"/>
      <c r="S76" s="4"/>
      <c r="T76" s="4"/>
    </row>
    <row r="82" spans="16:16" x14ac:dyDescent="0.2">
      <c r="P82" t="s">
        <v>544</v>
      </c>
    </row>
  </sheetData>
  <mergeCells count="58">
    <mergeCell ref="A74:E74"/>
    <mergeCell ref="A70:C70"/>
    <mergeCell ref="D70:E70"/>
    <mergeCell ref="A58:C58"/>
    <mergeCell ref="D58:E58"/>
    <mergeCell ref="A59:C59"/>
    <mergeCell ref="D59:E59"/>
    <mergeCell ref="A64:C64"/>
    <mergeCell ref="D64:E64"/>
    <mergeCell ref="T8:T11"/>
    <mergeCell ref="U8:U11"/>
    <mergeCell ref="V8:V11"/>
    <mergeCell ref="I8:J10"/>
    <mergeCell ref="K8:K11"/>
    <mergeCell ref="M8:M11"/>
    <mergeCell ref="N8:N11"/>
    <mergeCell ref="L8:L11"/>
    <mergeCell ref="R8:R11"/>
    <mergeCell ref="A1:B1"/>
    <mergeCell ref="D1:E1"/>
    <mergeCell ref="A2:S3"/>
    <mergeCell ref="A5:V6"/>
    <mergeCell ref="A8:A11"/>
    <mergeCell ref="B8:B11"/>
    <mergeCell ref="C8:C11"/>
    <mergeCell ref="D8:D11"/>
    <mergeCell ref="E8:E11"/>
    <mergeCell ref="F8:F11"/>
    <mergeCell ref="G8:G11"/>
    <mergeCell ref="H8:H11"/>
    <mergeCell ref="O8:O11"/>
    <mergeCell ref="P8:P11"/>
    <mergeCell ref="Q8:Q11"/>
    <mergeCell ref="S8:S11"/>
    <mergeCell ref="A46:C46"/>
    <mergeCell ref="D46:E46"/>
    <mergeCell ref="A12:F12"/>
    <mergeCell ref="A13:E13"/>
    <mergeCell ref="A14:C14"/>
    <mergeCell ref="D14:E14"/>
    <mergeCell ref="A18:C18"/>
    <mergeCell ref="D18:E18"/>
    <mergeCell ref="A75:E75"/>
    <mergeCell ref="A76:E76"/>
    <mergeCell ref="C52:C53"/>
    <mergeCell ref="E52:E53"/>
    <mergeCell ref="A20:C20"/>
    <mergeCell ref="D20:E20"/>
    <mergeCell ref="A48:C48"/>
    <mergeCell ref="D48:E48"/>
    <mergeCell ref="A51:C51"/>
    <mergeCell ref="D51:E51"/>
    <mergeCell ref="A24:C24"/>
    <mergeCell ref="D24:E24"/>
    <mergeCell ref="A29:C29"/>
    <mergeCell ref="D29:E29"/>
    <mergeCell ref="A36:C36"/>
    <mergeCell ref="D36:E36"/>
  </mergeCells>
  <pageMargins left="0.70866141732283472" right="0" top="0.55118110236220474" bottom="0" header="0.31496062992125984" footer="0.31496062992125984"/>
  <pageSetup paperSize="9" scale="47" orientation="landscape" r:id="rId1"/>
  <rowBreaks count="1" manualBreakCount="1">
    <brk id="50"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75"/>
  <sheetViews>
    <sheetView zoomScale="62" zoomScaleNormal="62" workbookViewId="0">
      <selection activeCell="L16" sqref="L16"/>
    </sheetView>
  </sheetViews>
  <sheetFormatPr defaultRowHeight="12.75" x14ac:dyDescent="0.2"/>
  <cols>
    <col min="1" max="1" width="47.85546875" customWidth="1"/>
    <col min="2" max="3" width="9.7109375" customWidth="1"/>
    <col min="4" max="4" width="13.5703125" customWidth="1"/>
    <col min="5" max="5" width="9.5703125" customWidth="1"/>
    <col min="6" max="6" width="24.140625" customWidth="1"/>
    <col min="7" max="10" width="21.42578125" hidden="1" customWidth="1"/>
    <col min="11" max="12" width="33.140625" customWidth="1"/>
    <col min="13" max="13" width="25.28515625" customWidth="1"/>
    <col min="14" max="14" width="25.42578125" customWidth="1"/>
  </cols>
  <sheetData>
    <row r="1" spans="1:14" s="2" customFormat="1" ht="18" x14ac:dyDescent="0.2">
      <c r="A1" s="840"/>
      <c r="B1" s="840"/>
      <c r="C1" s="183"/>
      <c r="D1" s="841"/>
      <c r="E1" s="841"/>
      <c r="F1" s="8"/>
      <c r="G1" s="8"/>
      <c r="H1" s="8"/>
      <c r="I1" s="8"/>
      <c r="J1" s="8"/>
      <c r="K1" s="8"/>
      <c r="L1" s="8"/>
      <c r="M1" s="8"/>
      <c r="N1" s="8"/>
    </row>
    <row r="2" spans="1:14" s="2" customFormat="1" ht="21" customHeight="1" x14ac:dyDescent="0.2">
      <c r="A2" s="846" t="s">
        <v>692</v>
      </c>
      <c r="B2" s="846"/>
      <c r="C2" s="846"/>
      <c r="D2" s="846"/>
      <c r="E2" s="846"/>
      <c r="F2" s="846"/>
      <c r="G2" s="846"/>
      <c r="H2" s="846"/>
      <c r="I2" s="846"/>
      <c r="J2" s="846"/>
      <c r="K2" s="846"/>
      <c r="L2" s="846"/>
      <c r="M2" s="846"/>
      <c r="N2" s="846"/>
    </row>
    <row r="3" spans="1:14" s="2" customFormat="1" ht="42.75" customHeight="1" x14ac:dyDescent="0.2">
      <c r="A3" s="846"/>
      <c r="B3" s="846"/>
      <c r="C3" s="846"/>
      <c r="D3" s="846"/>
      <c r="E3" s="846"/>
      <c r="F3" s="846"/>
      <c r="G3" s="846"/>
      <c r="H3" s="846"/>
      <c r="I3" s="846"/>
      <c r="J3" s="846"/>
      <c r="K3" s="846"/>
      <c r="L3" s="846"/>
      <c r="M3" s="846"/>
      <c r="N3" s="846"/>
    </row>
    <row r="4" spans="1:14" s="2" customFormat="1" ht="9.75" customHeight="1" x14ac:dyDescent="0.4">
      <c r="A4" s="28"/>
      <c r="B4" s="28"/>
      <c r="C4" s="28"/>
      <c r="D4" s="28"/>
      <c r="E4" s="28"/>
      <c r="F4" s="28"/>
      <c r="G4" s="28"/>
      <c r="H4" s="28"/>
      <c r="I4" s="28"/>
      <c r="J4" s="28"/>
      <c r="K4" s="28"/>
      <c r="L4" s="28"/>
      <c r="M4" s="28"/>
      <c r="N4" s="28"/>
    </row>
    <row r="5" spans="1:14" s="2" customFormat="1" ht="15.75" customHeight="1" x14ac:dyDescent="0.2">
      <c r="A5" s="847" t="s">
        <v>569</v>
      </c>
      <c r="B5" s="847"/>
      <c r="C5" s="847"/>
      <c r="D5" s="847"/>
      <c r="E5" s="847"/>
      <c r="F5" s="847"/>
      <c r="G5" s="847"/>
      <c r="H5" s="847"/>
      <c r="I5" s="847"/>
      <c r="J5" s="847"/>
      <c r="K5" s="847"/>
      <c r="L5" s="847"/>
      <c r="M5" s="847"/>
      <c r="N5" s="847"/>
    </row>
    <row r="6" spans="1:14" s="2" customFormat="1" ht="40.5" customHeight="1" x14ac:dyDescent="0.2">
      <c r="A6" s="847"/>
      <c r="B6" s="847"/>
      <c r="C6" s="847"/>
      <c r="D6" s="847"/>
      <c r="E6" s="847"/>
      <c r="F6" s="847"/>
      <c r="G6" s="847"/>
      <c r="H6" s="847"/>
      <c r="I6" s="847"/>
      <c r="J6" s="847"/>
      <c r="K6" s="847"/>
      <c r="L6" s="847"/>
      <c r="M6" s="847"/>
      <c r="N6" s="847"/>
    </row>
    <row r="7" spans="1:14" ht="29.25" customHeight="1" thickBot="1" x14ac:dyDescent="0.45">
      <c r="A7" s="25" t="s">
        <v>32</v>
      </c>
      <c r="B7" s="6"/>
      <c r="C7" s="22"/>
      <c r="D7" s="23"/>
      <c r="E7" s="23"/>
      <c r="F7" s="24"/>
      <c r="G7" s="23"/>
      <c r="H7" s="23"/>
      <c r="I7" s="23"/>
      <c r="J7" s="23"/>
      <c r="K7" s="23"/>
      <c r="L7" s="23"/>
      <c r="M7" s="23"/>
      <c r="N7" s="23"/>
    </row>
    <row r="8" spans="1:14" ht="83.25" customHeight="1" x14ac:dyDescent="0.2">
      <c r="A8" s="842" t="s">
        <v>10</v>
      </c>
      <c r="B8" s="936" t="s">
        <v>95</v>
      </c>
      <c r="C8" s="844" t="s">
        <v>89</v>
      </c>
      <c r="D8" s="844" t="s">
        <v>11</v>
      </c>
      <c r="E8" s="844" t="s">
        <v>62</v>
      </c>
      <c r="F8" s="958" t="s">
        <v>34</v>
      </c>
      <c r="G8" s="938" t="s">
        <v>553</v>
      </c>
      <c r="H8" s="938" t="s">
        <v>555</v>
      </c>
      <c r="I8" s="938" t="s">
        <v>550</v>
      </c>
      <c r="J8" s="938" t="s">
        <v>551</v>
      </c>
      <c r="K8" s="940" t="s">
        <v>707</v>
      </c>
      <c r="L8" s="940" t="s">
        <v>700</v>
      </c>
      <c r="M8" s="940" t="s">
        <v>687</v>
      </c>
      <c r="N8" s="1035"/>
    </row>
    <row r="9" spans="1:14" ht="21.75" customHeight="1" x14ac:dyDescent="0.2">
      <c r="A9" s="843"/>
      <c r="B9" s="937"/>
      <c r="C9" s="845"/>
      <c r="D9" s="845"/>
      <c r="E9" s="845"/>
      <c r="F9" s="959"/>
      <c r="G9" s="939"/>
      <c r="H9" s="939"/>
      <c r="I9" s="939"/>
      <c r="J9" s="939"/>
      <c r="K9" s="941"/>
      <c r="L9" s="941"/>
      <c r="M9" s="333" t="s">
        <v>697</v>
      </c>
      <c r="N9" s="334" t="s">
        <v>688</v>
      </c>
    </row>
    <row r="10" spans="1:14" ht="47.25" hidden="1" customHeight="1" x14ac:dyDescent="0.2">
      <c r="A10" s="843"/>
      <c r="B10" s="937"/>
      <c r="C10" s="845"/>
      <c r="D10" s="845"/>
      <c r="E10" s="845"/>
      <c r="F10" s="959"/>
      <c r="G10" s="939"/>
      <c r="H10" s="939"/>
      <c r="I10" s="939"/>
      <c r="J10" s="939"/>
      <c r="K10" s="941"/>
      <c r="L10" s="941"/>
      <c r="M10" s="34" t="s">
        <v>698</v>
      </c>
      <c r="N10" s="35" t="s">
        <v>699</v>
      </c>
    </row>
    <row r="11" spans="1:14" ht="171.75" hidden="1" customHeight="1" x14ac:dyDescent="0.2">
      <c r="A11" s="843"/>
      <c r="B11" s="937"/>
      <c r="C11" s="845"/>
      <c r="D11" s="845"/>
      <c r="E11" s="845"/>
      <c r="F11" s="959"/>
      <c r="G11" s="939"/>
      <c r="H11" s="939"/>
      <c r="I11" s="939"/>
      <c r="J11" s="939"/>
      <c r="K11" s="941"/>
      <c r="L11" s="941"/>
      <c r="M11" s="333" t="s">
        <v>697</v>
      </c>
      <c r="N11" s="334" t="s">
        <v>688</v>
      </c>
    </row>
    <row r="12" spans="1:14" s="31" customFormat="1" ht="48.75" customHeight="1" x14ac:dyDescent="0.35">
      <c r="A12" s="956" t="s">
        <v>38</v>
      </c>
      <c r="B12" s="957"/>
      <c r="C12" s="957"/>
      <c r="D12" s="957"/>
      <c r="E12" s="957"/>
      <c r="F12" s="957"/>
      <c r="G12" s="34" t="s">
        <v>554</v>
      </c>
      <c r="H12" s="34" t="s">
        <v>556</v>
      </c>
      <c r="I12" s="34" t="s">
        <v>549</v>
      </c>
      <c r="J12" s="34" t="s">
        <v>549</v>
      </c>
      <c r="K12" s="34" t="s">
        <v>706</v>
      </c>
      <c r="L12" s="34" t="s">
        <v>701</v>
      </c>
      <c r="M12" s="34" t="s">
        <v>698</v>
      </c>
      <c r="N12" s="35" t="s">
        <v>699</v>
      </c>
    </row>
    <row r="13" spans="1:14" ht="43.5" customHeight="1" x14ac:dyDescent="0.3">
      <c r="A13" s="876" t="s">
        <v>15</v>
      </c>
      <c r="B13" s="877"/>
      <c r="C13" s="877"/>
      <c r="D13" s="877"/>
      <c r="E13" s="877"/>
      <c r="F13" s="64">
        <f>SUM(K13:N13)</f>
        <v>773810.85000000009</v>
      </c>
      <c r="G13" s="64">
        <f t="shared" ref="G13:J13" si="0">G14+G20+G45+G49+G57+G43</f>
        <v>0</v>
      </c>
      <c r="H13" s="64">
        <f t="shared" si="0"/>
        <v>0</v>
      </c>
      <c r="I13" s="64">
        <f t="shared" si="0"/>
        <v>0</v>
      </c>
      <c r="J13" s="64">
        <f t="shared" si="0"/>
        <v>0</v>
      </c>
      <c r="K13" s="64">
        <f t="shared" ref="K13" si="1">K14+K20+K43+K45+K49+K57</f>
        <v>61942</v>
      </c>
      <c r="L13" s="64">
        <f t="shared" ref="L13:N13" si="2">L14+L20+L43+L45+L49+L57</f>
        <v>532192.85000000009</v>
      </c>
      <c r="M13" s="64">
        <f t="shared" si="2"/>
        <v>171864</v>
      </c>
      <c r="N13" s="65">
        <f t="shared" si="2"/>
        <v>7812</v>
      </c>
    </row>
    <row r="14" spans="1:14" ht="42.75" customHeight="1" x14ac:dyDescent="0.3">
      <c r="A14" s="872" t="s">
        <v>94</v>
      </c>
      <c r="B14" s="873"/>
      <c r="C14" s="873"/>
      <c r="D14" s="947">
        <v>210</v>
      </c>
      <c r="E14" s="947"/>
      <c r="F14" s="47">
        <f>SUM(K14:N14)</f>
        <v>773810.85000000009</v>
      </c>
      <c r="G14" s="47">
        <f t="shared" ref="G14:N14" si="3">G15+G16+G17+G18</f>
        <v>0</v>
      </c>
      <c r="H14" s="47">
        <f t="shared" si="3"/>
        <v>0</v>
      </c>
      <c r="I14" s="47">
        <f t="shared" si="3"/>
        <v>0</v>
      </c>
      <c r="J14" s="47">
        <f t="shared" si="3"/>
        <v>0</v>
      </c>
      <c r="K14" s="47">
        <f t="shared" si="3"/>
        <v>61942</v>
      </c>
      <c r="L14" s="47">
        <f t="shared" si="3"/>
        <v>532192.85000000009</v>
      </c>
      <c r="M14" s="47">
        <f t="shared" si="3"/>
        <v>171864</v>
      </c>
      <c r="N14" s="56">
        <f t="shared" si="3"/>
        <v>7812</v>
      </c>
    </row>
    <row r="15" spans="1:14" ht="36" customHeight="1" x14ac:dyDescent="0.25">
      <c r="A15" s="20" t="s">
        <v>16</v>
      </c>
      <c r="B15" s="40" t="s">
        <v>96</v>
      </c>
      <c r="C15" s="332" t="s">
        <v>47</v>
      </c>
      <c r="D15" s="67">
        <v>21101</v>
      </c>
      <c r="E15" s="332" t="s">
        <v>90</v>
      </c>
      <c r="F15" s="13">
        <f>SUM(K15:N15)</f>
        <v>594324.28</v>
      </c>
      <c r="G15" s="13"/>
      <c r="H15" s="13"/>
      <c r="I15" s="13"/>
      <c r="J15" s="13"/>
      <c r="K15" s="13">
        <f>47574</f>
        <v>47574</v>
      </c>
      <c r="L15" s="13">
        <f>408750.28</f>
        <v>408750.28</v>
      </c>
      <c r="M15" s="13">
        <f>132000</f>
        <v>132000</v>
      </c>
      <c r="N15" s="18">
        <f>6000</f>
        <v>6000</v>
      </c>
    </row>
    <row r="16" spans="1:14" ht="35.25" customHeight="1" thickBot="1" x14ac:dyDescent="0.3">
      <c r="A16" s="199" t="s">
        <v>17</v>
      </c>
      <c r="B16" s="61" t="s">
        <v>97</v>
      </c>
      <c r="C16" s="126" t="s">
        <v>48</v>
      </c>
      <c r="D16" s="62">
        <v>21300</v>
      </c>
      <c r="E16" s="126" t="s">
        <v>18</v>
      </c>
      <c r="F16" s="15">
        <f>SUM(K16:N16)</f>
        <v>179486.57</v>
      </c>
      <c r="G16" s="15"/>
      <c r="H16" s="15"/>
      <c r="I16" s="15"/>
      <c r="J16" s="15"/>
      <c r="K16" s="15">
        <f>14368</f>
        <v>14368</v>
      </c>
      <c r="L16" s="15">
        <f>123442.57</f>
        <v>123442.57</v>
      </c>
      <c r="M16" s="15">
        <f>39864</f>
        <v>39864</v>
      </c>
      <c r="N16" s="19">
        <f>1812</f>
        <v>1812</v>
      </c>
    </row>
    <row r="17" spans="1:14" ht="36" hidden="1" customHeight="1" x14ac:dyDescent="0.25">
      <c r="A17" s="195" t="s">
        <v>98</v>
      </c>
      <c r="B17" s="196" t="s">
        <v>99</v>
      </c>
      <c r="C17" s="331" t="s">
        <v>48</v>
      </c>
      <c r="D17" s="197">
        <v>21300</v>
      </c>
      <c r="E17" s="331" t="s">
        <v>18</v>
      </c>
      <c r="F17" s="198">
        <f t="shared" ref="F17:F19" si="4">SUM(G17:K17)</f>
        <v>0</v>
      </c>
      <c r="G17" s="198"/>
      <c r="H17" s="198"/>
      <c r="I17" s="198"/>
      <c r="J17" s="198"/>
      <c r="K17" s="198"/>
      <c r="L17" s="329"/>
      <c r="M17" s="329"/>
      <c r="N17" s="329"/>
    </row>
    <row r="18" spans="1:14" ht="29.25" hidden="1" customHeight="1" x14ac:dyDescent="0.3">
      <c r="A18" s="862" t="s">
        <v>12</v>
      </c>
      <c r="B18" s="863"/>
      <c r="C18" s="863"/>
      <c r="D18" s="949">
        <v>212</v>
      </c>
      <c r="E18" s="949"/>
      <c r="F18" s="44">
        <f t="shared" si="4"/>
        <v>0</v>
      </c>
      <c r="G18" s="44">
        <f t="shared" ref="G18:N18" si="5">G19</f>
        <v>0</v>
      </c>
      <c r="H18" s="44">
        <f t="shared" si="5"/>
        <v>0</v>
      </c>
      <c r="I18" s="44">
        <f t="shared" si="5"/>
        <v>0</v>
      </c>
      <c r="J18" s="44">
        <f t="shared" si="5"/>
        <v>0</v>
      </c>
      <c r="K18" s="44">
        <f t="shared" si="5"/>
        <v>0</v>
      </c>
      <c r="L18" s="50">
        <f t="shared" si="5"/>
        <v>0</v>
      </c>
      <c r="M18" s="50">
        <f t="shared" si="5"/>
        <v>0</v>
      </c>
      <c r="N18" s="50">
        <f t="shared" si="5"/>
        <v>0</v>
      </c>
    </row>
    <row r="19" spans="1:14" ht="34.5" hidden="1" customHeight="1" x14ac:dyDescent="0.3">
      <c r="A19" s="57" t="s">
        <v>112</v>
      </c>
      <c r="B19" s="166" t="s">
        <v>100</v>
      </c>
      <c r="C19" s="38">
        <v>112</v>
      </c>
      <c r="D19" s="41">
        <v>21201</v>
      </c>
      <c r="E19" s="184" t="s">
        <v>59</v>
      </c>
      <c r="F19" s="13">
        <f t="shared" si="4"/>
        <v>0</v>
      </c>
      <c r="G19" s="14"/>
      <c r="H19" s="14"/>
      <c r="I19" s="14"/>
      <c r="J19" s="14"/>
      <c r="K19" s="13"/>
      <c r="L19" s="18"/>
      <c r="M19" s="18"/>
      <c r="N19" s="18"/>
    </row>
    <row r="20" spans="1:14" ht="27.75" hidden="1" customHeight="1" x14ac:dyDescent="0.3">
      <c r="A20" s="872" t="s">
        <v>92</v>
      </c>
      <c r="B20" s="873"/>
      <c r="C20" s="873"/>
      <c r="D20" s="955">
        <v>220</v>
      </c>
      <c r="E20" s="955"/>
      <c r="F20" s="45">
        <f>F21+F22+F23+F27+F34</f>
        <v>0</v>
      </c>
      <c r="G20" s="45">
        <f t="shared" ref="G20:N20" si="6">G21+G22+G23+G27+G34</f>
        <v>0</v>
      </c>
      <c r="H20" s="45">
        <f t="shared" si="6"/>
        <v>0</v>
      </c>
      <c r="I20" s="45">
        <f t="shared" si="6"/>
        <v>0</v>
      </c>
      <c r="J20" s="45">
        <f t="shared" si="6"/>
        <v>0</v>
      </c>
      <c r="K20" s="45">
        <f t="shared" si="6"/>
        <v>0</v>
      </c>
      <c r="L20" s="46">
        <f t="shared" si="6"/>
        <v>0</v>
      </c>
      <c r="M20" s="46">
        <f t="shared" si="6"/>
        <v>0</v>
      </c>
      <c r="N20" s="46">
        <f t="shared" si="6"/>
        <v>0</v>
      </c>
    </row>
    <row r="21" spans="1:14" ht="29.25" hidden="1" customHeight="1" x14ac:dyDescent="0.25">
      <c r="A21" s="51" t="s">
        <v>0</v>
      </c>
      <c r="B21" s="167" t="s">
        <v>100</v>
      </c>
      <c r="C21" s="53" t="s">
        <v>49</v>
      </c>
      <c r="D21" s="54">
        <v>22100</v>
      </c>
      <c r="E21" s="53" t="s">
        <v>113</v>
      </c>
      <c r="F21" s="48">
        <f>SUM(G21:K21)</f>
        <v>0</v>
      </c>
      <c r="G21" s="48"/>
      <c r="H21" s="48"/>
      <c r="I21" s="48"/>
      <c r="J21" s="48"/>
      <c r="K21" s="48"/>
      <c r="L21" s="49"/>
      <c r="M21" s="49"/>
      <c r="N21" s="49"/>
    </row>
    <row r="22" spans="1:14" ht="27" hidden="1" customHeight="1" x14ac:dyDescent="0.25">
      <c r="A22" s="51" t="s">
        <v>93</v>
      </c>
      <c r="B22" s="167" t="s">
        <v>100</v>
      </c>
      <c r="C22" s="53" t="s">
        <v>49</v>
      </c>
      <c r="D22" s="54">
        <v>22299</v>
      </c>
      <c r="E22" s="53" t="s">
        <v>60</v>
      </c>
      <c r="F22" s="48">
        <f>SUM(G22:K22)</f>
        <v>0</v>
      </c>
      <c r="G22" s="48"/>
      <c r="H22" s="48"/>
      <c r="I22" s="48"/>
      <c r="J22" s="48"/>
      <c r="K22" s="48"/>
      <c r="L22" s="49"/>
      <c r="M22" s="49"/>
      <c r="N22" s="49"/>
    </row>
    <row r="23" spans="1:14" ht="31.5" hidden="1" customHeight="1" x14ac:dyDescent="0.3">
      <c r="A23" s="862" t="s">
        <v>19</v>
      </c>
      <c r="B23" s="863"/>
      <c r="C23" s="863"/>
      <c r="D23" s="954">
        <v>223</v>
      </c>
      <c r="E23" s="954"/>
      <c r="F23" s="48">
        <f>SUM(F24:F26)</f>
        <v>0</v>
      </c>
      <c r="G23" s="48">
        <f t="shared" ref="G23:N23" si="7">SUM(G24:G26)</f>
        <v>0</v>
      </c>
      <c r="H23" s="48">
        <f t="shared" si="7"/>
        <v>0</v>
      </c>
      <c r="I23" s="48">
        <f t="shared" si="7"/>
        <v>0</v>
      </c>
      <c r="J23" s="48">
        <f t="shared" si="7"/>
        <v>0</v>
      </c>
      <c r="K23" s="48">
        <f t="shared" si="7"/>
        <v>0</v>
      </c>
      <c r="L23" s="49">
        <f t="shared" si="7"/>
        <v>0</v>
      </c>
      <c r="M23" s="49">
        <f t="shared" si="7"/>
        <v>0</v>
      </c>
      <c r="N23" s="49">
        <f t="shared" si="7"/>
        <v>0</v>
      </c>
    </row>
    <row r="24" spans="1:14" ht="24.75" hidden="1" customHeight="1" x14ac:dyDescent="0.25">
      <c r="A24" s="37" t="s">
        <v>20</v>
      </c>
      <c r="B24" s="40" t="s">
        <v>102</v>
      </c>
      <c r="C24" s="184" t="s">
        <v>543</v>
      </c>
      <c r="D24" s="67">
        <v>22301</v>
      </c>
      <c r="E24" s="184" t="s">
        <v>69</v>
      </c>
      <c r="F24" s="13">
        <f>SUM(G24:K24)</f>
        <v>0</v>
      </c>
      <c r="G24" s="13"/>
      <c r="H24" s="13"/>
      <c r="I24" s="13"/>
      <c r="J24" s="13"/>
      <c r="K24" s="13"/>
      <c r="L24" s="18"/>
      <c r="M24" s="18"/>
      <c r="N24" s="18"/>
    </row>
    <row r="25" spans="1:14" ht="33.75" hidden="1" customHeight="1" x14ac:dyDescent="0.25">
      <c r="A25" s="20" t="s">
        <v>5</v>
      </c>
      <c r="B25" s="40" t="s">
        <v>102</v>
      </c>
      <c r="C25" s="184" t="s">
        <v>49</v>
      </c>
      <c r="D25" s="67">
        <v>22302</v>
      </c>
      <c r="E25" s="184" t="s">
        <v>69</v>
      </c>
      <c r="F25" s="13">
        <f>SUM(G25:K25)</f>
        <v>0</v>
      </c>
      <c r="G25" s="13"/>
      <c r="H25" s="13"/>
      <c r="I25" s="13"/>
      <c r="J25" s="13"/>
      <c r="K25" s="13"/>
      <c r="L25" s="18"/>
      <c r="M25" s="18"/>
      <c r="N25" s="18"/>
    </row>
    <row r="26" spans="1:14" ht="31.5" hidden="1" customHeight="1" x14ac:dyDescent="0.25">
      <c r="A26" s="37" t="s">
        <v>21</v>
      </c>
      <c r="B26" s="40" t="s">
        <v>102</v>
      </c>
      <c r="C26" s="184" t="s">
        <v>543</v>
      </c>
      <c r="D26" s="67">
        <v>22303</v>
      </c>
      <c r="E26" s="184" t="s">
        <v>69</v>
      </c>
      <c r="F26" s="13">
        <f>SUM(G26:K26)</f>
        <v>0</v>
      </c>
      <c r="G26" s="13"/>
      <c r="H26" s="13"/>
      <c r="I26" s="13"/>
      <c r="J26" s="13"/>
      <c r="K26" s="13"/>
      <c r="L26" s="18"/>
      <c r="M26" s="18"/>
      <c r="N26" s="18"/>
    </row>
    <row r="27" spans="1:14" ht="36" hidden="1" customHeight="1" x14ac:dyDescent="0.3">
      <c r="A27" s="862" t="s">
        <v>103</v>
      </c>
      <c r="B27" s="863"/>
      <c r="C27" s="863"/>
      <c r="D27" s="949">
        <v>225</v>
      </c>
      <c r="E27" s="949"/>
      <c r="F27" s="48">
        <f>SUM(F28:F33)</f>
        <v>0</v>
      </c>
      <c r="G27" s="48">
        <f t="shared" ref="G27:N27" si="8">SUM(G28:G30)</f>
        <v>0</v>
      </c>
      <c r="H27" s="48">
        <f t="shared" si="8"/>
        <v>0</v>
      </c>
      <c r="I27" s="48">
        <f t="shared" si="8"/>
        <v>0</v>
      </c>
      <c r="J27" s="48">
        <f t="shared" si="8"/>
        <v>0</v>
      </c>
      <c r="K27" s="48">
        <f t="shared" si="8"/>
        <v>0</v>
      </c>
      <c r="L27" s="49">
        <f t="shared" si="8"/>
        <v>0</v>
      </c>
      <c r="M27" s="49">
        <f t="shared" si="8"/>
        <v>0</v>
      </c>
      <c r="N27" s="49">
        <f t="shared" si="8"/>
        <v>0</v>
      </c>
    </row>
    <row r="28" spans="1:14" ht="35.25" hidden="1" customHeight="1" x14ac:dyDescent="0.25">
      <c r="A28" s="42" t="s">
        <v>54</v>
      </c>
      <c r="B28" s="40" t="s">
        <v>100</v>
      </c>
      <c r="C28" s="184" t="s">
        <v>49</v>
      </c>
      <c r="D28" s="67">
        <v>22501</v>
      </c>
      <c r="E28" s="184" t="s">
        <v>104</v>
      </c>
      <c r="F28" s="13">
        <f t="shared" ref="F28:F42" si="9">SUM(G28:K28)</f>
        <v>0</v>
      </c>
      <c r="G28" s="13"/>
      <c r="H28" s="13"/>
      <c r="I28" s="13"/>
      <c r="J28" s="13"/>
      <c r="K28" s="13"/>
      <c r="L28" s="18"/>
      <c r="M28" s="18"/>
      <c r="N28" s="18"/>
    </row>
    <row r="29" spans="1:14" ht="23.25" hidden="1" customHeight="1" x14ac:dyDescent="0.25">
      <c r="A29" s="42" t="s">
        <v>58</v>
      </c>
      <c r="B29" s="40" t="s">
        <v>100</v>
      </c>
      <c r="C29" s="184" t="s">
        <v>49</v>
      </c>
      <c r="D29" s="67">
        <v>22502</v>
      </c>
      <c r="E29" s="184" t="s">
        <v>104</v>
      </c>
      <c r="F29" s="13">
        <f t="shared" si="9"/>
        <v>0</v>
      </c>
      <c r="G29" s="13"/>
      <c r="H29" s="13"/>
      <c r="I29" s="13"/>
      <c r="J29" s="13"/>
      <c r="K29" s="13"/>
      <c r="L29" s="18"/>
      <c r="M29" s="18"/>
      <c r="N29" s="18"/>
    </row>
    <row r="30" spans="1:14" ht="24.75" hidden="1" customHeight="1" x14ac:dyDescent="0.25">
      <c r="A30" s="43" t="s">
        <v>56</v>
      </c>
      <c r="B30" s="40" t="s">
        <v>100</v>
      </c>
      <c r="C30" s="184" t="s">
        <v>49</v>
      </c>
      <c r="D30" s="67">
        <v>22503</v>
      </c>
      <c r="E30" s="184" t="s">
        <v>104</v>
      </c>
      <c r="F30" s="13">
        <f t="shared" si="9"/>
        <v>0</v>
      </c>
      <c r="G30" s="13"/>
      <c r="H30" s="13"/>
      <c r="I30" s="13"/>
      <c r="J30" s="13"/>
      <c r="K30" s="13"/>
      <c r="L30" s="18"/>
      <c r="M30" s="18"/>
      <c r="N30" s="18"/>
    </row>
    <row r="31" spans="1:14" ht="32.25" hidden="1" customHeight="1" x14ac:dyDescent="0.25">
      <c r="A31" s="43" t="s">
        <v>57</v>
      </c>
      <c r="B31" s="40" t="s">
        <v>100</v>
      </c>
      <c r="C31" s="184" t="s">
        <v>49</v>
      </c>
      <c r="D31" s="67">
        <v>22504</v>
      </c>
      <c r="E31" s="184" t="s">
        <v>104</v>
      </c>
      <c r="F31" s="13">
        <f t="shared" si="9"/>
        <v>0</v>
      </c>
      <c r="G31" s="13"/>
      <c r="H31" s="13"/>
      <c r="I31" s="13"/>
      <c r="J31" s="13"/>
      <c r="K31" s="13"/>
      <c r="L31" s="18"/>
      <c r="M31" s="18"/>
      <c r="N31" s="18"/>
    </row>
    <row r="32" spans="1:14" ht="25.5" hidden="1" customHeight="1" x14ac:dyDescent="0.25">
      <c r="A32" s="42" t="s">
        <v>55</v>
      </c>
      <c r="B32" s="40" t="s">
        <v>100</v>
      </c>
      <c r="C32" s="184" t="s">
        <v>49</v>
      </c>
      <c r="D32" s="67">
        <v>22505</v>
      </c>
      <c r="E32" s="184" t="s">
        <v>104</v>
      </c>
      <c r="F32" s="13">
        <f t="shared" si="9"/>
        <v>0</v>
      </c>
      <c r="G32" s="13"/>
      <c r="H32" s="13"/>
      <c r="I32" s="13"/>
      <c r="J32" s="13"/>
      <c r="K32" s="13"/>
      <c r="L32" s="18"/>
      <c r="M32" s="18"/>
      <c r="N32" s="18"/>
    </row>
    <row r="33" spans="1:14" ht="34.5" hidden="1" customHeight="1" x14ac:dyDescent="0.25">
      <c r="A33" s="42" t="s">
        <v>22</v>
      </c>
      <c r="B33" s="40" t="s">
        <v>100</v>
      </c>
      <c r="C33" s="184" t="s">
        <v>49</v>
      </c>
      <c r="D33" s="67">
        <v>22599</v>
      </c>
      <c r="E33" s="184" t="s">
        <v>104</v>
      </c>
      <c r="F33" s="13">
        <f t="shared" si="9"/>
        <v>0</v>
      </c>
      <c r="G33" s="13"/>
      <c r="H33" s="13"/>
      <c r="I33" s="13"/>
      <c r="J33" s="13"/>
      <c r="K33" s="13"/>
      <c r="L33" s="18"/>
      <c r="M33" s="18"/>
      <c r="N33" s="18"/>
    </row>
    <row r="34" spans="1:14" ht="28.5" hidden="1" customHeight="1" x14ac:dyDescent="0.3">
      <c r="A34" s="862" t="s">
        <v>109</v>
      </c>
      <c r="B34" s="863"/>
      <c r="C34" s="863"/>
      <c r="D34" s="949">
        <v>226</v>
      </c>
      <c r="E34" s="949"/>
      <c r="F34" s="44">
        <f t="shared" si="9"/>
        <v>0</v>
      </c>
      <c r="G34" s="44">
        <f t="shared" ref="G34:N34" si="10">SUM(G35:G42)</f>
        <v>0</v>
      </c>
      <c r="H34" s="44">
        <f t="shared" si="10"/>
        <v>0</v>
      </c>
      <c r="I34" s="44">
        <f t="shared" si="10"/>
        <v>0</v>
      </c>
      <c r="J34" s="44">
        <f t="shared" si="10"/>
        <v>0</v>
      </c>
      <c r="K34" s="44">
        <f t="shared" si="10"/>
        <v>0</v>
      </c>
      <c r="L34" s="50">
        <f t="shared" si="10"/>
        <v>0</v>
      </c>
      <c r="M34" s="50">
        <f t="shared" si="10"/>
        <v>0</v>
      </c>
      <c r="N34" s="50">
        <f t="shared" si="10"/>
        <v>0</v>
      </c>
    </row>
    <row r="35" spans="1:14" ht="24" hidden="1" customHeight="1" x14ac:dyDescent="0.25">
      <c r="A35" s="43" t="s">
        <v>33</v>
      </c>
      <c r="B35" s="40" t="s">
        <v>100</v>
      </c>
      <c r="C35" s="184" t="s">
        <v>49</v>
      </c>
      <c r="D35" s="67">
        <v>22601</v>
      </c>
      <c r="E35" s="184" t="s">
        <v>110</v>
      </c>
      <c r="F35" s="13">
        <f t="shared" si="9"/>
        <v>0</v>
      </c>
      <c r="G35" s="13"/>
      <c r="H35" s="13"/>
      <c r="I35" s="13"/>
      <c r="J35" s="13"/>
      <c r="K35" s="13"/>
      <c r="L35" s="18"/>
      <c r="M35" s="18"/>
      <c r="N35" s="18"/>
    </row>
    <row r="36" spans="1:14" ht="31.5" hidden="1" customHeight="1" x14ac:dyDescent="0.25">
      <c r="A36" s="42" t="s">
        <v>111</v>
      </c>
      <c r="B36" s="40" t="s">
        <v>100</v>
      </c>
      <c r="C36" s="184" t="s">
        <v>50</v>
      </c>
      <c r="D36" s="67">
        <v>22602</v>
      </c>
      <c r="E36" s="184" t="s">
        <v>110</v>
      </c>
      <c r="F36" s="13">
        <f t="shared" si="9"/>
        <v>0</v>
      </c>
      <c r="G36" s="13"/>
      <c r="H36" s="13"/>
      <c r="I36" s="13"/>
      <c r="J36" s="13"/>
      <c r="K36" s="13"/>
      <c r="L36" s="18"/>
      <c r="M36" s="18"/>
      <c r="N36" s="18"/>
    </row>
    <row r="37" spans="1:14" ht="34.5" hidden="1" customHeight="1" x14ac:dyDescent="0.25">
      <c r="A37" s="42" t="s">
        <v>114</v>
      </c>
      <c r="B37" s="40" t="s">
        <v>100</v>
      </c>
      <c r="C37" s="184" t="s">
        <v>115</v>
      </c>
      <c r="D37" s="67">
        <v>22602</v>
      </c>
      <c r="E37" s="184" t="s">
        <v>110</v>
      </c>
      <c r="F37" s="13">
        <f t="shared" si="9"/>
        <v>0</v>
      </c>
      <c r="G37" s="13"/>
      <c r="H37" s="13"/>
      <c r="I37" s="13"/>
      <c r="J37" s="13"/>
      <c r="K37" s="13"/>
      <c r="L37" s="18"/>
      <c r="M37" s="18"/>
      <c r="N37" s="18"/>
    </row>
    <row r="38" spans="1:14" ht="22.5" hidden="1" customHeight="1" x14ac:dyDescent="0.25">
      <c r="A38" s="42" t="s">
        <v>23</v>
      </c>
      <c r="B38" s="40" t="s">
        <v>100</v>
      </c>
      <c r="C38" s="184" t="s">
        <v>49</v>
      </c>
      <c r="D38" s="67">
        <v>22603</v>
      </c>
      <c r="E38" s="184" t="s">
        <v>110</v>
      </c>
      <c r="F38" s="13">
        <f t="shared" si="9"/>
        <v>0</v>
      </c>
      <c r="G38" s="13"/>
      <c r="H38" s="13"/>
      <c r="I38" s="13"/>
      <c r="J38" s="13"/>
      <c r="K38" s="13"/>
      <c r="L38" s="18"/>
      <c r="M38" s="18"/>
      <c r="N38" s="18"/>
    </row>
    <row r="39" spans="1:14" ht="34.5" hidden="1" customHeight="1" x14ac:dyDescent="0.25">
      <c r="A39" s="42" t="s">
        <v>24</v>
      </c>
      <c r="B39" s="40" t="s">
        <v>100</v>
      </c>
      <c r="C39" s="184" t="s">
        <v>49</v>
      </c>
      <c r="D39" s="67">
        <v>22605</v>
      </c>
      <c r="E39" s="184" t="s">
        <v>110</v>
      </c>
      <c r="F39" s="13">
        <f t="shared" si="9"/>
        <v>0</v>
      </c>
      <c r="G39" s="13"/>
      <c r="H39" s="13"/>
      <c r="I39" s="13"/>
      <c r="J39" s="13"/>
      <c r="K39" s="13"/>
      <c r="L39" s="18"/>
      <c r="M39" s="18"/>
      <c r="N39" s="18"/>
    </row>
    <row r="40" spans="1:14" ht="51" hidden="1" customHeight="1" x14ac:dyDescent="0.25">
      <c r="A40" s="42" t="s">
        <v>116</v>
      </c>
      <c r="B40" s="40" t="s">
        <v>100</v>
      </c>
      <c r="C40" s="184" t="s">
        <v>50</v>
      </c>
      <c r="D40" s="67">
        <v>22606</v>
      </c>
      <c r="E40" s="184" t="s">
        <v>110</v>
      </c>
      <c r="F40" s="13">
        <f t="shared" si="9"/>
        <v>0</v>
      </c>
      <c r="G40" s="13"/>
      <c r="H40" s="13"/>
      <c r="I40" s="13"/>
      <c r="J40" s="13"/>
      <c r="K40" s="13"/>
      <c r="L40" s="18"/>
      <c r="M40" s="18"/>
      <c r="N40" s="18"/>
    </row>
    <row r="41" spans="1:14" ht="49.5" hidden="1" customHeight="1" x14ac:dyDescent="0.25">
      <c r="A41" s="42" t="s">
        <v>117</v>
      </c>
      <c r="B41" s="40" t="s">
        <v>100</v>
      </c>
      <c r="C41" s="184" t="s">
        <v>50</v>
      </c>
      <c r="D41" s="67">
        <v>22699</v>
      </c>
      <c r="E41" s="184" t="s">
        <v>110</v>
      </c>
      <c r="F41" s="13">
        <f t="shared" si="9"/>
        <v>0</v>
      </c>
      <c r="G41" s="13"/>
      <c r="H41" s="13"/>
      <c r="I41" s="13"/>
      <c r="J41" s="13"/>
      <c r="K41" s="13"/>
      <c r="L41" s="18"/>
      <c r="M41" s="18"/>
      <c r="N41" s="18"/>
    </row>
    <row r="42" spans="1:14" ht="32.25" hidden="1" customHeight="1" x14ac:dyDescent="0.25">
      <c r="A42" s="42" t="s">
        <v>25</v>
      </c>
      <c r="B42" s="40" t="s">
        <v>100</v>
      </c>
      <c r="C42" s="184" t="s">
        <v>49</v>
      </c>
      <c r="D42" s="67">
        <v>22699</v>
      </c>
      <c r="E42" s="184" t="s">
        <v>110</v>
      </c>
      <c r="F42" s="13">
        <f t="shared" si="9"/>
        <v>0</v>
      </c>
      <c r="G42" s="13"/>
      <c r="H42" s="13"/>
      <c r="I42" s="13"/>
      <c r="J42" s="13"/>
      <c r="K42" s="13"/>
      <c r="L42" s="18"/>
      <c r="M42" s="18"/>
      <c r="N42" s="18"/>
    </row>
    <row r="43" spans="1:14" ht="28.5" hidden="1" customHeight="1" x14ac:dyDescent="0.3">
      <c r="A43" s="872" t="s">
        <v>499</v>
      </c>
      <c r="B43" s="873"/>
      <c r="C43" s="873"/>
      <c r="D43" s="947">
        <v>26300</v>
      </c>
      <c r="E43" s="947"/>
      <c r="F43" s="45">
        <f t="shared" ref="F43" si="11">SUM(F44)</f>
        <v>0</v>
      </c>
      <c r="G43" s="45">
        <f t="shared" ref="G43:J43" si="12">G44</f>
        <v>0</v>
      </c>
      <c r="H43" s="45">
        <f t="shared" si="12"/>
        <v>0</v>
      </c>
      <c r="I43" s="45">
        <f t="shared" si="12"/>
        <v>0</v>
      </c>
      <c r="J43" s="45">
        <f t="shared" si="12"/>
        <v>0</v>
      </c>
      <c r="K43" s="45">
        <f t="shared" ref="K43:N43" si="13">SUM(K44)</f>
        <v>0</v>
      </c>
      <c r="L43" s="46">
        <f t="shared" si="13"/>
        <v>0</v>
      </c>
      <c r="M43" s="46">
        <f t="shared" si="13"/>
        <v>0</v>
      </c>
      <c r="N43" s="46">
        <f t="shared" si="13"/>
        <v>0</v>
      </c>
    </row>
    <row r="44" spans="1:14" ht="21.75" hidden="1" customHeight="1" x14ac:dyDescent="0.25">
      <c r="A44" s="42" t="s">
        <v>500</v>
      </c>
      <c r="B44" s="40" t="s">
        <v>100</v>
      </c>
      <c r="C44" s="184" t="s">
        <v>281</v>
      </c>
      <c r="D44" s="67">
        <v>26300</v>
      </c>
      <c r="E44" s="184" t="s">
        <v>501</v>
      </c>
      <c r="F44" s="13">
        <f>SUM(G44:K44)</f>
        <v>0</v>
      </c>
      <c r="G44" s="13"/>
      <c r="H44" s="13"/>
      <c r="I44" s="13"/>
      <c r="J44" s="13"/>
      <c r="K44" s="13"/>
      <c r="L44" s="18"/>
      <c r="M44" s="18"/>
      <c r="N44" s="18"/>
    </row>
    <row r="45" spans="1:14" ht="28.5" hidden="1" customHeight="1" x14ac:dyDescent="0.3">
      <c r="A45" s="872" t="s">
        <v>121</v>
      </c>
      <c r="B45" s="873"/>
      <c r="C45" s="873"/>
      <c r="D45" s="947">
        <v>266</v>
      </c>
      <c r="E45" s="947"/>
      <c r="F45" s="45">
        <f>SUM(G45:K45)</f>
        <v>0</v>
      </c>
      <c r="G45" s="45">
        <f t="shared" ref="G45:L45" si="14">SUM(G46:G48)</f>
        <v>0</v>
      </c>
      <c r="H45" s="45">
        <f t="shared" si="14"/>
        <v>0</v>
      </c>
      <c r="I45" s="45">
        <f t="shared" si="14"/>
        <v>0</v>
      </c>
      <c r="J45" s="45">
        <f t="shared" si="14"/>
        <v>0</v>
      </c>
      <c r="K45" s="45">
        <f t="shared" si="14"/>
        <v>0</v>
      </c>
      <c r="L45" s="46">
        <f t="shared" si="14"/>
        <v>0</v>
      </c>
      <c r="M45" s="46">
        <f t="shared" ref="M45:N45" si="15">SUM(M46:M48)</f>
        <v>0</v>
      </c>
      <c r="N45" s="46">
        <f t="shared" si="15"/>
        <v>0</v>
      </c>
    </row>
    <row r="46" spans="1:14" ht="39.75" hidden="1" customHeight="1" x14ac:dyDescent="0.25">
      <c r="A46" s="42" t="s">
        <v>118</v>
      </c>
      <c r="B46" s="40" t="s">
        <v>96</v>
      </c>
      <c r="C46" s="184" t="s">
        <v>47</v>
      </c>
      <c r="D46" s="67">
        <v>26600</v>
      </c>
      <c r="E46" s="184" t="s">
        <v>91</v>
      </c>
      <c r="F46" s="13">
        <f>SUM(G46:K46)</f>
        <v>0</v>
      </c>
      <c r="G46" s="13"/>
      <c r="H46" s="13"/>
      <c r="I46" s="13"/>
      <c r="J46" s="13"/>
      <c r="K46" s="13"/>
      <c r="L46" s="18"/>
      <c r="M46" s="18"/>
      <c r="N46" s="18"/>
    </row>
    <row r="47" spans="1:14" ht="36.75" hidden="1" customHeight="1" x14ac:dyDescent="0.25">
      <c r="A47" s="42" t="s">
        <v>119</v>
      </c>
      <c r="B47" s="40" t="s">
        <v>100</v>
      </c>
      <c r="C47" s="184" t="s">
        <v>50</v>
      </c>
      <c r="D47" s="67">
        <v>26601</v>
      </c>
      <c r="E47" s="184" t="s">
        <v>91</v>
      </c>
      <c r="F47" s="13">
        <f>SUM(G47:K47)</f>
        <v>0</v>
      </c>
      <c r="G47" s="13"/>
      <c r="H47" s="13"/>
      <c r="I47" s="13"/>
      <c r="J47" s="13"/>
      <c r="K47" s="13"/>
      <c r="L47" s="18"/>
      <c r="M47" s="18"/>
      <c r="N47" s="18"/>
    </row>
    <row r="48" spans="1:14" ht="52.5" hidden="1" customHeight="1" x14ac:dyDescent="0.25">
      <c r="A48" s="42" t="s">
        <v>120</v>
      </c>
      <c r="B48" s="40" t="s">
        <v>99</v>
      </c>
      <c r="C48" s="184" t="s">
        <v>50</v>
      </c>
      <c r="D48" s="67">
        <v>26602</v>
      </c>
      <c r="E48" s="184" t="s">
        <v>91</v>
      </c>
      <c r="F48" s="13">
        <f>SUM(G48:K48)</f>
        <v>0</v>
      </c>
      <c r="G48" s="13"/>
      <c r="H48" s="13"/>
      <c r="I48" s="13"/>
      <c r="J48" s="13"/>
      <c r="K48" s="13"/>
      <c r="L48" s="18"/>
      <c r="M48" s="18"/>
      <c r="N48" s="18"/>
    </row>
    <row r="49" spans="1:14" s="1" customFormat="1" ht="26.25" hidden="1" customHeight="1" x14ac:dyDescent="0.3">
      <c r="A49" s="872" t="s">
        <v>31</v>
      </c>
      <c r="B49" s="873"/>
      <c r="C49" s="873"/>
      <c r="D49" s="947">
        <v>290</v>
      </c>
      <c r="E49" s="947"/>
      <c r="F49" s="45">
        <f>SUM(F50:F56)</f>
        <v>0</v>
      </c>
      <c r="G49" s="45">
        <f t="shared" ref="G49:L49" si="16">SUM(G50:G56)</f>
        <v>0</v>
      </c>
      <c r="H49" s="45">
        <f t="shared" si="16"/>
        <v>0</v>
      </c>
      <c r="I49" s="45">
        <f t="shared" si="16"/>
        <v>0</v>
      </c>
      <c r="J49" s="45">
        <f t="shared" si="16"/>
        <v>0</v>
      </c>
      <c r="K49" s="45">
        <f t="shared" si="16"/>
        <v>0</v>
      </c>
      <c r="L49" s="46">
        <f t="shared" si="16"/>
        <v>0</v>
      </c>
      <c r="M49" s="46">
        <f t="shared" ref="M49:N49" si="17">SUM(M50:M56)</f>
        <v>0</v>
      </c>
      <c r="N49" s="46">
        <f t="shared" si="17"/>
        <v>0</v>
      </c>
    </row>
    <row r="50" spans="1:14" ht="30.75" hidden="1" customHeight="1" x14ac:dyDescent="0.25">
      <c r="A50" s="27" t="s">
        <v>513</v>
      </c>
      <c r="B50" s="40" t="s">
        <v>100</v>
      </c>
      <c r="C50" s="950" t="s">
        <v>51</v>
      </c>
      <c r="D50" s="67">
        <v>29101</v>
      </c>
      <c r="E50" s="950" t="s">
        <v>123</v>
      </c>
      <c r="F50" s="13">
        <f t="shared" ref="F50:F56" si="18">SUM(G50:K50)</f>
        <v>0</v>
      </c>
      <c r="G50" s="13"/>
      <c r="H50" s="13"/>
      <c r="I50" s="13"/>
      <c r="J50" s="13"/>
      <c r="K50" s="13"/>
      <c r="L50" s="18"/>
      <c r="M50" s="18"/>
      <c r="N50" s="18"/>
    </row>
    <row r="51" spans="1:14" ht="30.75" hidden="1" customHeight="1" x14ac:dyDescent="0.25">
      <c r="A51" s="27" t="s">
        <v>514</v>
      </c>
      <c r="B51" s="40" t="s">
        <v>100</v>
      </c>
      <c r="C51" s="950"/>
      <c r="D51" s="67">
        <v>29102</v>
      </c>
      <c r="E51" s="950"/>
      <c r="F51" s="13">
        <f t="shared" si="18"/>
        <v>0</v>
      </c>
      <c r="G51" s="13"/>
      <c r="H51" s="13"/>
      <c r="I51" s="13"/>
      <c r="J51" s="13"/>
      <c r="K51" s="13"/>
      <c r="L51" s="18"/>
      <c r="M51" s="18"/>
      <c r="N51" s="18"/>
    </row>
    <row r="52" spans="1:14" ht="30.75" hidden="1" customHeight="1" x14ac:dyDescent="0.25">
      <c r="A52" s="27" t="s">
        <v>542</v>
      </c>
      <c r="B52" s="40" t="s">
        <v>100</v>
      </c>
      <c r="C52" s="184" t="s">
        <v>52</v>
      </c>
      <c r="D52" s="67">
        <v>29104</v>
      </c>
      <c r="E52" s="184" t="s">
        <v>123</v>
      </c>
      <c r="F52" s="13">
        <f t="shared" si="18"/>
        <v>0</v>
      </c>
      <c r="G52" s="13"/>
      <c r="H52" s="13"/>
      <c r="I52" s="13"/>
      <c r="J52" s="13"/>
      <c r="K52" s="13"/>
      <c r="L52" s="18"/>
      <c r="M52" s="18"/>
      <c r="N52" s="18"/>
    </row>
    <row r="53" spans="1:14" ht="31.5" hidden="1" customHeight="1" x14ac:dyDescent="0.25">
      <c r="A53" s="58" t="s">
        <v>125</v>
      </c>
      <c r="B53" s="40" t="s">
        <v>100</v>
      </c>
      <c r="C53" s="184" t="s">
        <v>53</v>
      </c>
      <c r="D53" s="67">
        <v>29001</v>
      </c>
      <c r="E53" s="184" t="s">
        <v>127</v>
      </c>
      <c r="F53" s="13">
        <f t="shared" si="18"/>
        <v>0</v>
      </c>
      <c r="G53" s="13"/>
      <c r="H53" s="13"/>
      <c r="I53" s="13"/>
      <c r="J53" s="13"/>
      <c r="K53" s="13"/>
      <c r="L53" s="18"/>
      <c r="M53" s="18"/>
      <c r="N53" s="18"/>
    </row>
    <row r="54" spans="1:14" ht="38.25" hidden="1" customHeight="1" x14ac:dyDescent="0.25">
      <c r="A54" s="58" t="s">
        <v>126</v>
      </c>
      <c r="B54" s="40" t="s">
        <v>100</v>
      </c>
      <c r="C54" s="184" t="s">
        <v>53</v>
      </c>
      <c r="D54" s="67">
        <v>29001</v>
      </c>
      <c r="E54" s="184" t="s">
        <v>128</v>
      </c>
      <c r="F54" s="13">
        <f t="shared" si="18"/>
        <v>0</v>
      </c>
      <c r="G54" s="13"/>
      <c r="H54" s="13"/>
      <c r="I54" s="13"/>
      <c r="J54" s="13"/>
      <c r="K54" s="13"/>
      <c r="L54" s="18"/>
      <c r="M54" s="18"/>
      <c r="N54" s="18"/>
    </row>
    <row r="55" spans="1:14" ht="34.5" hidden="1" customHeight="1" x14ac:dyDescent="0.25">
      <c r="A55" s="59" t="s">
        <v>130</v>
      </c>
      <c r="B55" s="40" t="s">
        <v>100</v>
      </c>
      <c r="C55" s="184" t="s">
        <v>53</v>
      </c>
      <c r="D55" s="67">
        <v>29001</v>
      </c>
      <c r="E55" s="184" t="s">
        <v>129</v>
      </c>
      <c r="F55" s="13">
        <f t="shared" si="18"/>
        <v>0</v>
      </c>
      <c r="G55" s="13"/>
      <c r="H55" s="13"/>
      <c r="I55" s="13"/>
      <c r="J55" s="13"/>
      <c r="K55" s="13"/>
      <c r="L55" s="18"/>
      <c r="M55" s="18"/>
      <c r="N55" s="18"/>
    </row>
    <row r="56" spans="1:14" ht="34.5" hidden="1" customHeight="1" x14ac:dyDescent="0.25">
      <c r="A56" s="59" t="s">
        <v>130</v>
      </c>
      <c r="B56" s="40" t="s">
        <v>100</v>
      </c>
      <c r="C56" s="184" t="s">
        <v>53</v>
      </c>
      <c r="D56" s="67">
        <v>29099</v>
      </c>
      <c r="E56" s="184" t="s">
        <v>624</v>
      </c>
      <c r="F56" s="13">
        <f t="shared" si="18"/>
        <v>0</v>
      </c>
      <c r="G56" s="13"/>
      <c r="H56" s="13"/>
      <c r="I56" s="13"/>
      <c r="J56" s="13"/>
      <c r="K56" s="13"/>
      <c r="L56" s="18"/>
      <c r="M56" s="18"/>
      <c r="N56" s="18"/>
    </row>
    <row r="57" spans="1:14" ht="36" hidden="1" customHeight="1" x14ac:dyDescent="0.3">
      <c r="A57" s="872" t="s">
        <v>131</v>
      </c>
      <c r="B57" s="873"/>
      <c r="C57" s="873"/>
      <c r="D57" s="948">
        <v>300</v>
      </c>
      <c r="E57" s="948"/>
      <c r="F57" s="45">
        <f>F58+F63</f>
        <v>0</v>
      </c>
      <c r="G57" s="45">
        <f t="shared" ref="G57:N57" si="19">G58+G63</f>
        <v>0</v>
      </c>
      <c r="H57" s="45">
        <f t="shared" si="19"/>
        <v>0</v>
      </c>
      <c r="I57" s="45">
        <f t="shared" si="19"/>
        <v>0</v>
      </c>
      <c r="J57" s="45">
        <f t="shared" si="19"/>
        <v>0</v>
      </c>
      <c r="K57" s="45">
        <f t="shared" si="19"/>
        <v>0</v>
      </c>
      <c r="L57" s="46">
        <f t="shared" si="19"/>
        <v>0</v>
      </c>
      <c r="M57" s="46">
        <f t="shared" si="19"/>
        <v>0</v>
      </c>
      <c r="N57" s="46">
        <f t="shared" si="19"/>
        <v>0</v>
      </c>
    </row>
    <row r="58" spans="1:14" ht="30.75" hidden="1" customHeight="1" x14ac:dyDescent="0.3">
      <c r="A58" s="862" t="s">
        <v>13</v>
      </c>
      <c r="B58" s="863"/>
      <c r="C58" s="863"/>
      <c r="D58" s="949">
        <v>310</v>
      </c>
      <c r="E58" s="949"/>
      <c r="F58" s="44">
        <f>SUM(G58:K58)</f>
        <v>0</v>
      </c>
      <c r="G58" s="44">
        <f>SUM(G59:G62)</f>
        <v>0</v>
      </c>
      <c r="H58" s="44">
        <f>SUM(H59:H62)</f>
        <v>0</v>
      </c>
      <c r="I58" s="44">
        <f>SUM(I59:I62)</f>
        <v>0</v>
      </c>
      <c r="J58" s="44">
        <f>SUM(J59:J62)</f>
        <v>0</v>
      </c>
      <c r="K58" s="44">
        <f t="shared" ref="K58:L58" si="20">SUM(K59:K62)</f>
        <v>0</v>
      </c>
      <c r="L58" s="50">
        <f t="shared" si="20"/>
        <v>0</v>
      </c>
      <c r="M58" s="50">
        <f t="shared" ref="M58:N58" si="21">SUM(M59:M62)</f>
        <v>0</v>
      </c>
      <c r="N58" s="50">
        <f t="shared" si="21"/>
        <v>0</v>
      </c>
    </row>
    <row r="59" spans="1:14" ht="27.75" hidden="1" customHeight="1" x14ac:dyDescent="0.25">
      <c r="A59" s="16" t="s">
        <v>132</v>
      </c>
      <c r="B59" s="40" t="s">
        <v>133</v>
      </c>
      <c r="C59" s="184" t="s">
        <v>49</v>
      </c>
      <c r="D59" s="67">
        <v>31003</v>
      </c>
      <c r="E59" s="184" t="s">
        <v>61</v>
      </c>
      <c r="F59" s="13">
        <f>SUM(G59:K59)</f>
        <v>0</v>
      </c>
      <c r="G59" s="13"/>
      <c r="H59" s="13"/>
      <c r="I59" s="13"/>
      <c r="J59" s="13"/>
      <c r="K59" s="13"/>
      <c r="L59" s="18"/>
      <c r="M59" s="18"/>
      <c r="N59" s="18"/>
    </row>
    <row r="60" spans="1:14" ht="25.5" hidden="1" customHeight="1" x14ac:dyDescent="0.25">
      <c r="A60" s="16" t="s">
        <v>6</v>
      </c>
      <c r="B60" s="40" t="s">
        <v>133</v>
      </c>
      <c r="C60" s="184" t="s">
        <v>49</v>
      </c>
      <c r="D60" s="67">
        <v>31004</v>
      </c>
      <c r="E60" s="184" t="s">
        <v>61</v>
      </c>
      <c r="F60" s="13">
        <f>SUM(G60:K60)</f>
        <v>0</v>
      </c>
      <c r="G60" s="13"/>
      <c r="H60" s="13"/>
      <c r="I60" s="13"/>
      <c r="J60" s="13"/>
      <c r="K60" s="13"/>
      <c r="L60" s="18"/>
      <c r="M60" s="18"/>
      <c r="N60" s="18"/>
    </row>
    <row r="61" spans="1:14" ht="28.5" hidden="1" customHeight="1" x14ac:dyDescent="0.25">
      <c r="A61" s="16" t="s">
        <v>7</v>
      </c>
      <c r="B61" s="40" t="s">
        <v>133</v>
      </c>
      <c r="C61" s="184" t="s">
        <v>49</v>
      </c>
      <c r="D61" s="67">
        <v>31005</v>
      </c>
      <c r="E61" s="184" t="s">
        <v>61</v>
      </c>
      <c r="F61" s="13">
        <f>SUM(G61:K61)</f>
        <v>0</v>
      </c>
      <c r="G61" s="13"/>
      <c r="H61" s="13"/>
      <c r="I61" s="13"/>
      <c r="J61" s="13"/>
      <c r="K61" s="13"/>
      <c r="L61" s="18"/>
      <c r="M61" s="18"/>
      <c r="N61" s="18"/>
    </row>
    <row r="62" spans="1:14" ht="36.75" hidden="1" customHeight="1" x14ac:dyDescent="0.25">
      <c r="A62" s="16" t="s">
        <v>8</v>
      </c>
      <c r="B62" s="40" t="s">
        <v>133</v>
      </c>
      <c r="C62" s="184" t="s">
        <v>49</v>
      </c>
      <c r="D62" s="67">
        <v>31099</v>
      </c>
      <c r="E62" s="184" t="s">
        <v>61</v>
      </c>
      <c r="F62" s="13">
        <f>SUM(G62:K62)</f>
        <v>0</v>
      </c>
      <c r="G62" s="13"/>
      <c r="H62" s="13"/>
      <c r="I62" s="13"/>
      <c r="J62" s="13"/>
      <c r="K62" s="13"/>
      <c r="L62" s="18"/>
      <c r="M62" s="18"/>
      <c r="N62" s="18"/>
    </row>
    <row r="63" spans="1:14" ht="39.75" hidden="1" customHeight="1" x14ac:dyDescent="0.3">
      <c r="A63" s="862" t="s">
        <v>14</v>
      </c>
      <c r="B63" s="863"/>
      <c r="C63" s="863"/>
      <c r="D63" s="949">
        <v>340</v>
      </c>
      <c r="E63" s="949"/>
      <c r="F63" s="44">
        <f>F64+F65+F66+F67+F68+F69</f>
        <v>0</v>
      </c>
      <c r="G63" s="44">
        <f t="shared" ref="G63:N63" si="22">G64+G65+G66+G67+G68+G69</f>
        <v>0</v>
      </c>
      <c r="H63" s="44">
        <f t="shared" si="22"/>
        <v>0</v>
      </c>
      <c r="I63" s="44">
        <f t="shared" si="22"/>
        <v>0</v>
      </c>
      <c r="J63" s="44">
        <f t="shared" si="22"/>
        <v>0</v>
      </c>
      <c r="K63" s="44">
        <f t="shared" si="22"/>
        <v>0</v>
      </c>
      <c r="L63" s="50">
        <f t="shared" si="22"/>
        <v>0</v>
      </c>
      <c r="M63" s="50">
        <f t="shared" si="22"/>
        <v>0</v>
      </c>
      <c r="N63" s="50">
        <f t="shared" si="22"/>
        <v>0</v>
      </c>
    </row>
    <row r="64" spans="1:14" ht="31.5" hidden="1" customHeight="1" x14ac:dyDescent="0.25">
      <c r="A64" s="42" t="s">
        <v>3</v>
      </c>
      <c r="B64" s="40" t="s">
        <v>100</v>
      </c>
      <c r="C64" s="184" t="s">
        <v>49</v>
      </c>
      <c r="D64" s="67">
        <v>34001</v>
      </c>
      <c r="E64" s="184" t="s">
        <v>82</v>
      </c>
      <c r="F64" s="13">
        <f>SUM(G64:K64)</f>
        <v>0</v>
      </c>
      <c r="G64" s="13"/>
      <c r="H64" s="13"/>
      <c r="I64" s="13"/>
      <c r="J64" s="13"/>
      <c r="K64" s="13"/>
      <c r="L64" s="18"/>
      <c r="M64" s="18"/>
      <c r="N64" s="18"/>
    </row>
    <row r="65" spans="1:14" ht="24.75" hidden="1" customHeight="1" x14ac:dyDescent="0.25">
      <c r="A65" s="42" t="s">
        <v>1</v>
      </c>
      <c r="B65" s="40" t="s">
        <v>100</v>
      </c>
      <c r="C65" s="184" t="s">
        <v>49</v>
      </c>
      <c r="D65" s="67">
        <v>34002</v>
      </c>
      <c r="E65" s="184" t="s">
        <v>83</v>
      </c>
      <c r="F65" s="13">
        <f>SUM(G65:K65)</f>
        <v>0</v>
      </c>
      <c r="G65" s="13"/>
      <c r="H65" s="13"/>
      <c r="I65" s="13"/>
      <c r="J65" s="13"/>
      <c r="K65" s="13"/>
      <c r="L65" s="18"/>
      <c r="M65" s="18"/>
      <c r="N65" s="18"/>
    </row>
    <row r="66" spans="1:14" ht="24.75" hidden="1" customHeight="1" x14ac:dyDescent="0.25">
      <c r="A66" s="42" t="s">
        <v>134</v>
      </c>
      <c r="B66" s="40" t="s">
        <v>135</v>
      </c>
      <c r="C66" s="184" t="s">
        <v>49</v>
      </c>
      <c r="D66" s="67">
        <v>34002</v>
      </c>
      <c r="E66" s="184" t="s">
        <v>83</v>
      </c>
      <c r="F66" s="13">
        <f>SUM(G66:K66)</f>
        <v>0</v>
      </c>
      <c r="G66" s="13"/>
      <c r="H66" s="13"/>
      <c r="I66" s="13"/>
      <c r="J66" s="13"/>
      <c r="K66" s="13"/>
      <c r="L66" s="18"/>
      <c r="M66" s="18"/>
      <c r="N66" s="18"/>
    </row>
    <row r="67" spans="1:14" ht="23.25" hidden="1" customHeight="1" x14ac:dyDescent="0.25">
      <c r="A67" s="42" t="s">
        <v>27</v>
      </c>
      <c r="B67" s="40" t="s">
        <v>100</v>
      </c>
      <c r="C67" s="184" t="s">
        <v>49</v>
      </c>
      <c r="D67" s="67">
        <v>34003</v>
      </c>
      <c r="E67" s="184" t="s">
        <v>84</v>
      </c>
      <c r="F67" s="13">
        <f>SUM(G67:K67)</f>
        <v>0</v>
      </c>
      <c r="G67" s="13"/>
      <c r="H67" s="13"/>
      <c r="I67" s="13"/>
      <c r="J67" s="13"/>
      <c r="K67" s="13"/>
      <c r="L67" s="18"/>
      <c r="M67" s="18"/>
      <c r="N67" s="18"/>
    </row>
    <row r="68" spans="1:14" ht="24" hidden="1" customHeight="1" x14ac:dyDescent="0.25">
      <c r="A68" s="42" t="s">
        <v>28</v>
      </c>
      <c r="B68" s="40" t="s">
        <v>100</v>
      </c>
      <c r="C68" s="184" t="s">
        <v>49</v>
      </c>
      <c r="D68" s="67">
        <v>34004</v>
      </c>
      <c r="E68" s="184" t="s">
        <v>85</v>
      </c>
      <c r="F68" s="13">
        <f>SUM(G68:K68)</f>
        <v>0</v>
      </c>
      <c r="G68" s="13"/>
      <c r="H68" s="13"/>
      <c r="I68" s="13"/>
      <c r="J68" s="13"/>
      <c r="K68" s="13"/>
      <c r="L68" s="18"/>
      <c r="M68" s="18"/>
      <c r="N68" s="18"/>
    </row>
    <row r="69" spans="1:14" ht="31.5" hidden="1" customHeight="1" x14ac:dyDescent="0.25">
      <c r="A69" s="951" t="s">
        <v>29</v>
      </c>
      <c r="B69" s="952"/>
      <c r="C69" s="952"/>
      <c r="D69" s="953">
        <v>34099</v>
      </c>
      <c r="E69" s="953"/>
      <c r="F69" s="32">
        <f>SUM(F70:F72)</f>
        <v>0</v>
      </c>
      <c r="G69" s="32">
        <f t="shared" ref="G69:N69" si="23">SUM(G70:G72)</f>
        <v>0</v>
      </c>
      <c r="H69" s="32">
        <f t="shared" si="23"/>
        <v>0</v>
      </c>
      <c r="I69" s="32">
        <f t="shared" si="23"/>
        <v>0</v>
      </c>
      <c r="J69" s="32">
        <f t="shared" si="23"/>
        <v>0</v>
      </c>
      <c r="K69" s="32">
        <f t="shared" si="23"/>
        <v>0</v>
      </c>
      <c r="L69" s="55">
        <f t="shared" si="23"/>
        <v>0</v>
      </c>
      <c r="M69" s="55">
        <f t="shared" si="23"/>
        <v>0</v>
      </c>
      <c r="N69" s="55">
        <f t="shared" si="23"/>
        <v>0</v>
      </c>
    </row>
    <row r="70" spans="1:14" ht="30" hidden="1" customHeight="1" x14ac:dyDescent="0.25">
      <c r="A70" s="42" t="s">
        <v>136</v>
      </c>
      <c r="B70" s="40" t="s">
        <v>100</v>
      </c>
      <c r="C70" s="184" t="s">
        <v>49</v>
      </c>
      <c r="D70" s="67">
        <v>34099</v>
      </c>
      <c r="E70" s="184" t="s">
        <v>137</v>
      </c>
      <c r="F70" s="13">
        <f>SUM(G70:K70)</f>
        <v>0</v>
      </c>
      <c r="G70" s="13"/>
      <c r="H70" s="13"/>
      <c r="I70" s="13"/>
      <c r="J70" s="13"/>
      <c r="K70" s="13"/>
      <c r="L70" s="18"/>
      <c r="M70" s="18"/>
      <c r="N70" s="18"/>
    </row>
    <row r="71" spans="1:14" ht="30" hidden="1" customHeight="1" x14ac:dyDescent="0.25">
      <c r="A71" s="42" t="s">
        <v>138</v>
      </c>
      <c r="B71" s="40" t="s">
        <v>100</v>
      </c>
      <c r="C71" s="184" t="s">
        <v>49</v>
      </c>
      <c r="D71" s="67">
        <v>34099</v>
      </c>
      <c r="E71" s="184" t="s">
        <v>86</v>
      </c>
      <c r="F71" s="13">
        <f>SUM(G71:K71)</f>
        <v>0</v>
      </c>
      <c r="G71" s="13"/>
      <c r="H71" s="13"/>
      <c r="I71" s="13"/>
      <c r="J71" s="13"/>
      <c r="K71" s="13"/>
      <c r="L71" s="18"/>
      <c r="M71" s="18"/>
      <c r="N71" s="18"/>
    </row>
    <row r="72" spans="1:14" ht="32.25" hidden="1" customHeight="1" thickBot="1" x14ac:dyDescent="0.3">
      <c r="A72" s="60" t="s">
        <v>88</v>
      </c>
      <c r="B72" s="61" t="s">
        <v>100</v>
      </c>
      <c r="C72" s="126" t="s">
        <v>49</v>
      </c>
      <c r="D72" s="62">
        <v>34099</v>
      </c>
      <c r="E72" s="126" t="s">
        <v>87</v>
      </c>
      <c r="F72" s="15">
        <f>SUM(G72:K72)</f>
        <v>0</v>
      </c>
      <c r="G72" s="15"/>
      <c r="H72" s="15"/>
      <c r="I72" s="15"/>
      <c r="J72" s="15"/>
      <c r="K72" s="15"/>
      <c r="L72" s="19"/>
      <c r="M72" s="19"/>
      <c r="N72" s="19"/>
    </row>
    <row r="73" spans="1:14" ht="31.5" customHeight="1" thickBot="1" x14ac:dyDescent="0.35">
      <c r="A73" s="944" t="s">
        <v>498</v>
      </c>
      <c r="B73" s="945"/>
      <c r="C73" s="945"/>
      <c r="D73" s="945"/>
      <c r="E73" s="946"/>
      <c r="F73" s="172">
        <f>F21+F22+F23+F27+F35+F38+F39+F42+F57</f>
        <v>0</v>
      </c>
      <c r="G73" s="4"/>
      <c r="H73" s="4"/>
      <c r="I73" s="4"/>
      <c r="J73" s="4"/>
      <c r="K73" s="4"/>
      <c r="L73" s="4"/>
      <c r="M73" s="4"/>
      <c r="N73" s="4"/>
    </row>
    <row r="74" spans="1:14" ht="8.25" customHeight="1" x14ac:dyDescent="0.2">
      <c r="A74" s="5"/>
      <c r="B74" s="7"/>
      <c r="C74" s="7"/>
      <c r="D74" s="3"/>
      <c r="E74" s="3"/>
      <c r="F74" s="4"/>
      <c r="G74" s="4"/>
      <c r="H74" s="4"/>
      <c r="I74" s="4"/>
      <c r="J74" s="4"/>
      <c r="K74" s="4"/>
      <c r="L74" s="4"/>
      <c r="M74" s="4"/>
      <c r="N74" s="4"/>
    </row>
    <row r="75" spans="1:14" s="12" customFormat="1" ht="15.75" customHeight="1" x14ac:dyDescent="0.25">
      <c r="A75" s="21"/>
      <c r="B75" s="11"/>
      <c r="C75" s="10"/>
      <c r="D75" s="11"/>
      <c r="E75" s="11"/>
    </row>
  </sheetData>
  <mergeCells count="48">
    <mergeCell ref="L8:L11"/>
    <mergeCell ref="A1:B1"/>
    <mergeCell ref="D1:E1"/>
    <mergeCell ref="A8:A11"/>
    <mergeCell ref="B8:B11"/>
    <mergeCell ref="C8:C11"/>
    <mergeCell ref="D8:D11"/>
    <mergeCell ref="E8:E11"/>
    <mergeCell ref="F8:F11"/>
    <mergeCell ref="G8:G11"/>
    <mergeCell ref="H8:H11"/>
    <mergeCell ref="I8:I11"/>
    <mergeCell ref="J8:J11"/>
    <mergeCell ref="K8:K11"/>
    <mergeCell ref="A12:F12"/>
    <mergeCell ref="A13:E13"/>
    <mergeCell ref="A14:C14"/>
    <mergeCell ref="D14:E14"/>
    <mergeCell ref="A18:C18"/>
    <mergeCell ref="D18:E18"/>
    <mergeCell ref="A20:C20"/>
    <mergeCell ref="D20:E20"/>
    <mergeCell ref="A23:C23"/>
    <mergeCell ref="D23:E23"/>
    <mergeCell ref="A27:C27"/>
    <mergeCell ref="D27:E27"/>
    <mergeCell ref="A34:C34"/>
    <mergeCell ref="D34:E34"/>
    <mergeCell ref="A43:C43"/>
    <mergeCell ref="D43:E43"/>
    <mergeCell ref="A45:C45"/>
    <mergeCell ref="D45:E45"/>
    <mergeCell ref="M8:N8"/>
    <mergeCell ref="A5:N6"/>
    <mergeCell ref="A2:N3"/>
    <mergeCell ref="A73:E73"/>
    <mergeCell ref="A58:C58"/>
    <mergeCell ref="D58:E58"/>
    <mergeCell ref="A63:C63"/>
    <mergeCell ref="D63:E63"/>
    <mergeCell ref="A69:C69"/>
    <mergeCell ref="D69:E69"/>
    <mergeCell ref="A49:C49"/>
    <mergeCell ref="D49:E49"/>
    <mergeCell ref="C50:C51"/>
    <mergeCell ref="E50:E51"/>
    <mergeCell ref="A57:C57"/>
    <mergeCell ref="D57:E57"/>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1"/>
  <sheetViews>
    <sheetView view="pageBreakPreview" zoomScale="60" zoomScaleNormal="64" workbookViewId="0">
      <selection activeCell="N66" sqref="N66"/>
    </sheetView>
  </sheetViews>
  <sheetFormatPr defaultRowHeight="12.75" x14ac:dyDescent="0.2"/>
  <cols>
    <col min="1" max="1" width="47.85546875" customWidth="1"/>
    <col min="2" max="3" width="9.7109375" customWidth="1"/>
    <col min="4" max="4" width="10.7109375" customWidth="1"/>
    <col min="5" max="5" width="9.5703125" customWidth="1"/>
    <col min="6" max="6" width="24.140625" customWidth="1"/>
    <col min="7" max="11" width="21.42578125" customWidth="1"/>
    <col min="12" max="12" width="23.85546875" customWidth="1"/>
    <col min="13" max="13" width="24" customWidth="1"/>
    <col min="14" max="14" width="24.7109375" customWidth="1"/>
    <col min="15" max="15" width="26.140625" customWidth="1"/>
    <col min="17" max="17" width="20.140625" bestFit="1" customWidth="1"/>
  </cols>
  <sheetData>
    <row r="1" spans="1:15" s="2" customFormat="1" ht="18" x14ac:dyDescent="0.2">
      <c r="A1" s="840"/>
      <c r="B1" s="840"/>
      <c r="C1" s="173"/>
      <c r="D1" s="841"/>
      <c r="E1" s="841"/>
      <c r="F1" s="8"/>
      <c r="G1" s="8"/>
      <c r="H1" s="8"/>
      <c r="I1" s="8"/>
      <c r="J1" s="8"/>
      <c r="K1" s="8"/>
      <c r="L1" s="8"/>
      <c r="M1" s="8"/>
      <c r="N1" s="8"/>
      <c r="O1" s="8"/>
    </row>
    <row r="2" spans="1:15" s="2" customFormat="1" x14ac:dyDescent="0.2">
      <c r="A2" s="846" t="s">
        <v>692</v>
      </c>
      <c r="B2" s="846"/>
      <c r="C2" s="846"/>
      <c r="D2" s="846"/>
      <c r="E2" s="846"/>
      <c r="F2" s="846"/>
      <c r="G2" s="846"/>
      <c r="H2" s="846"/>
      <c r="I2" s="846"/>
      <c r="J2" s="846"/>
      <c r="K2" s="846"/>
      <c r="L2" s="846"/>
      <c r="M2" s="846"/>
      <c r="N2" s="846"/>
      <c r="O2" s="846"/>
    </row>
    <row r="3" spans="1:15" s="2" customFormat="1" x14ac:dyDescent="0.2">
      <c r="A3" s="846"/>
      <c r="B3" s="846"/>
      <c r="C3" s="846"/>
      <c r="D3" s="846"/>
      <c r="E3" s="846"/>
      <c r="F3" s="846"/>
      <c r="G3" s="846"/>
      <c r="H3" s="846"/>
      <c r="I3" s="846"/>
      <c r="J3" s="846"/>
      <c r="K3" s="846"/>
      <c r="L3" s="846"/>
      <c r="M3" s="846"/>
      <c r="N3" s="846"/>
      <c r="O3" s="846"/>
    </row>
    <row r="4" spans="1:15" s="2" customFormat="1" ht="30" x14ac:dyDescent="0.4">
      <c r="A4" s="28"/>
      <c r="B4" s="28"/>
      <c r="C4" s="28"/>
      <c r="D4" s="28"/>
      <c r="E4" s="28"/>
      <c r="F4" s="28"/>
      <c r="G4" s="28"/>
      <c r="H4" s="28"/>
      <c r="I4" s="28"/>
      <c r="J4" s="28"/>
      <c r="K4" s="28"/>
      <c r="L4" s="28"/>
      <c r="M4" s="28"/>
      <c r="N4" s="28"/>
      <c r="O4" s="28"/>
    </row>
    <row r="5" spans="1:15" s="2" customFormat="1" x14ac:dyDescent="0.2">
      <c r="A5" s="847" t="s">
        <v>569</v>
      </c>
      <c r="B5" s="847"/>
      <c r="C5" s="847"/>
      <c r="D5" s="847"/>
      <c r="E5" s="847"/>
      <c r="F5" s="847"/>
      <c r="G5" s="847"/>
      <c r="H5" s="847"/>
      <c r="I5" s="847"/>
      <c r="J5" s="847"/>
      <c r="K5" s="847"/>
      <c r="L5" s="847"/>
      <c r="M5" s="847"/>
      <c r="N5" s="847"/>
      <c r="O5" s="847"/>
    </row>
    <row r="6" spans="1:15" s="2" customFormat="1" x14ac:dyDescent="0.2">
      <c r="A6" s="847"/>
      <c r="B6" s="847"/>
      <c r="C6" s="847"/>
      <c r="D6" s="847"/>
      <c r="E6" s="847"/>
      <c r="F6" s="847"/>
      <c r="G6" s="847"/>
      <c r="H6" s="847"/>
      <c r="I6" s="847"/>
      <c r="J6" s="847"/>
      <c r="K6" s="847"/>
      <c r="L6" s="847"/>
      <c r="M6" s="847"/>
      <c r="N6" s="847"/>
      <c r="O6" s="847"/>
    </row>
    <row r="7" spans="1:15" ht="30.75" thickBot="1" x14ac:dyDescent="0.45">
      <c r="A7" s="25" t="s">
        <v>32</v>
      </c>
      <c r="B7" s="6"/>
      <c r="C7" s="22"/>
      <c r="D7" s="23"/>
      <c r="E7" s="23"/>
      <c r="F7" s="24"/>
      <c r="G7" s="23"/>
      <c r="H7" s="23"/>
      <c r="I7" s="23"/>
      <c r="J7" s="23"/>
      <c r="K7" s="23"/>
      <c r="L7" s="23"/>
      <c r="M7" s="23"/>
      <c r="N7" s="23"/>
      <c r="O7" s="23"/>
    </row>
    <row r="8" spans="1:15" ht="41.25" customHeight="1" x14ac:dyDescent="0.2">
      <c r="A8" s="842" t="s">
        <v>10</v>
      </c>
      <c r="B8" s="936" t="s">
        <v>95</v>
      </c>
      <c r="C8" s="844" t="s">
        <v>89</v>
      </c>
      <c r="D8" s="844" t="s">
        <v>11</v>
      </c>
      <c r="E8" s="844" t="s">
        <v>62</v>
      </c>
      <c r="F8" s="958" t="s">
        <v>34</v>
      </c>
      <c r="G8" s="938" t="s">
        <v>625</v>
      </c>
      <c r="H8" s="938" t="s">
        <v>555</v>
      </c>
      <c r="I8" s="938" t="s">
        <v>627</v>
      </c>
      <c r="J8" s="938" t="s">
        <v>628</v>
      </c>
      <c r="K8" s="938" t="s">
        <v>629</v>
      </c>
      <c r="L8" s="970" t="s">
        <v>711</v>
      </c>
      <c r="M8" s="970" t="s">
        <v>712</v>
      </c>
      <c r="N8" s="1039" t="s">
        <v>74</v>
      </c>
      <c r="O8" s="966" t="s">
        <v>70</v>
      </c>
    </row>
    <row r="9" spans="1:15" ht="33.75" customHeight="1" x14ac:dyDescent="0.2">
      <c r="A9" s="843"/>
      <c r="B9" s="937"/>
      <c r="C9" s="845"/>
      <c r="D9" s="845"/>
      <c r="E9" s="845"/>
      <c r="F9" s="959"/>
      <c r="G9" s="939"/>
      <c r="H9" s="939"/>
      <c r="I9" s="939"/>
      <c r="J9" s="939"/>
      <c r="K9" s="939"/>
      <c r="L9" s="957"/>
      <c r="M9" s="957"/>
      <c r="N9" s="1040"/>
      <c r="O9" s="967"/>
    </row>
    <row r="10" spans="1:15" ht="30" customHeight="1" x14ac:dyDescent="0.2">
      <c r="A10" s="843"/>
      <c r="B10" s="937"/>
      <c r="C10" s="845"/>
      <c r="D10" s="845"/>
      <c r="E10" s="845"/>
      <c r="F10" s="959"/>
      <c r="G10" s="939"/>
      <c r="H10" s="939"/>
      <c r="I10" s="939"/>
      <c r="J10" s="939"/>
      <c r="K10" s="939"/>
      <c r="L10" s="957"/>
      <c r="M10" s="957"/>
      <c r="N10" s="1040"/>
      <c r="O10" s="967"/>
    </row>
    <row r="11" spans="1:15" ht="209.25" customHeight="1" thickBot="1" x14ac:dyDescent="0.25">
      <c r="A11" s="962"/>
      <c r="B11" s="963"/>
      <c r="C11" s="964"/>
      <c r="D11" s="964"/>
      <c r="E11" s="964"/>
      <c r="F11" s="965"/>
      <c r="G11" s="969"/>
      <c r="H11" s="969"/>
      <c r="I11" s="969"/>
      <c r="J11" s="969"/>
      <c r="K11" s="969"/>
      <c r="L11" s="971"/>
      <c r="M11" s="971"/>
      <c r="N11" s="1041"/>
      <c r="O11" s="968"/>
    </row>
    <row r="12" spans="1:15" s="31" customFormat="1" ht="65.25" customHeight="1" thickBot="1" x14ac:dyDescent="0.4">
      <c r="A12" s="972" t="s">
        <v>38</v>
      </c>
      <c r="B12" s="973"/>
      <c r="C12" s="973"/>
      <c r="D12" s="973"/>
      <c r="E12" s="973"/>
      <c r="F12" s="973"/>
      <c r="G12" s="164" t="s">
        <v>554</v>
      </c>
      <c r="H12" s="164" t="s">
        <v>556</v>
      </c>
      <c r="I12" s="974" t="s">
        <v>708</v>
      </c>
      <c r="J12" s="975"/>
      <c r="K12" s="976"/>
      <c r="L12" s="164" t="s">
        <v>709</v>
      </c>
      <c r="M12" s="164" t="s">
        <v>710</v>
      </c>
      <c r="N12" s="164" t="s">
        <v>563</v>
      </c>
      <c r="O12" s="164" t="s">
        <v>552</v>
      </c>
    </row>
    <row r="13" spans="1:15" ht="26.25" x14ac:dyDescent="0.3">
      <c r="A13" s="928" t="s">
        <v>15</v>
      </c>
      <c r="B13" s="929"/>
      <c r="C13" s="929"/>
      <c r="D13" s="929"/>
      <c r="E13" s="929"/>
      <c r="F13" s="165">
        <f>F14+F20+F43+F45+F49+F57</f>
        <v>1955438</v>
      </c>
      <c r="G13" s="165">
        <f t="shared" ref="G13:J13" si="0">G14+G20+G45+G49+G57+G43</f>
        <v>289542</v>
      </c>
      <c r="H13" s="165">
        <f t="shared" si="0"/>
        <v>5909</v>
      </c>
      <c r="I13" s="165">
        <f t="shared" si="0"/>
        <v>1412628</v>
      </c>
      <c r="J13" s="165">
        <f t="shared" si="0"/>
        <v>0</v>
      </c>
      <c r="K13" s="165">
        <f t="shared" ref="K13:O13" si="1">K14+K20+K43+K45+K49+K57</f>
        <v>28829</v>
      </c>
      <c r="L13" s="165">
        <f t="shared" ref="L13" si="2">L14+L20+L45+L49+L57+L43</f>
        <v>0</v>
      </c>
      <c r="M13" s="165">
        <f t="shared" ref="M13" si="3">M14+M20+M43+M45+M49+M57</f>
        <v>0</v>
      </c>
      <c r="N13" s="165">
        <f t="shared" si="1"/>
        <v>77795</v>
      </c>
      <c r="O13" s="165">
        <f t="shared" si="1"/>
        <v>140735</v>
      </c>
    </row>
    <row r="14" spans="1:15" ht="20.25" hidden="1" x14ac:dyDescent="0.3">
      <c r="A14" s="872" t="s">
        <v>94</v>
      </c>
      <c r="B14" s="873"/>
      <c r="C14" s="873"/>
      <c r="D14" s="947">
        <v>210</v>
      </c>
      <c r="E14" s="947"/>
      <c r="F14" s="47">
        <f t="shared" ref="F14:F19" si="4">SUM(G14:O14)</f>
        <v>0</v>
      </c>
      <c r="G14" s="47">
        <f t="shared" ref="G14:O14" si="5">G15+G16+G17+G18</f>
        <v>0</v>
      </c>
      <c r="H14" s="47">
        <f t="shared" si="5"/>
        <v>0</v>
      </c>
      <c r="I14" s="47">
        <f t="shared" si="5"/>
        <v>0</v>
      </c>
      <c r="J14" s="47">
        <f t="shared" si="5"/>
        <v>0</v>
      </c>
      <c r="K14" s="47">
        <f t="shared" si="5"/>
        <v>0</v>
      </c>
      <c r="L14" s="47">
        <f t="shared" si="5"/>
        <v>0</v>
      </c>
      <c r="M14" s="47">
        <f t="shared" si="5"/>
        <v>0</v>
      </c>
      <c r="N14" s="47">
        <f t="shared" si="5"/>
        <v>0</v>
      </c>
      <c r="O14" s="47">
        <f t="shared" si="5"/>
        <v>0</v>
      </c>
    </row>
    <row r="15" spans="1:15" ht="30.75" hidden="1" x14ac:dyDescent="0.25">
      <c r="A15" s="20" t="s">
        <v>16</v>
      </c>
      <c r="B15" s="40" t="s">
        <v>96</v>
      </c>
      <c r="C15" s="174" t="s">
        <v>47</v>
      </c>
      <c r="D15" s="67">
        <v>21101</v>
      </c>
      <c r="E15" s="174" t="s">
        <v>90</v>
      </c>
      <c r="F15" s="13">
        <f t="shared" si="4"/>
        <v>0</v>
      </c>
      <c r="G15" s="13"/>
      <c r="H15" s="13"/>
      <c r="I15" s="13"/>
      <c r="J15" s="13"/>
      <c r="K15" s="13"/>
      <c r="L15" s="13"/>
      <c r="M15" s="13"/>
      <c r="N15" s="13"/>
      <c r="O15" s="13"/>
    </row>
    <row r="16" spans="1:15" ht="20.25" hidden="1" x14ac:dyDescent="0.25">
      <c r="A16" s="16" t="s">
        <v>17</v>
      </c>
      <c r="B16" s="40" t="s">
        <v>97</v>
      </c>
      <c r="C16" s="174" t="s">
        <v>48</v>
      </c>
      <c r="D16" s="67">
        <v>21300</v>
      </c>
      <c r="E16" s="174" t="s">
        <v>18</v>
      </c>
      <c r="F16" s="13">
        <f t="shared" si="4"/>
        <v>0</v>
      </c>
      <c r="G16" s="13"/>
      <c r="H16" s="13"/>
      <c r="I16" s="13"/>
      <c r="J16" s="13"/>
      <c r="K16" s="13"/>
      <c r="L16" s="13"/>
      <c r="M16" s="13"/>
      <c r="N16" s="13"/>
      <c r="O16" s="13"/>
    </row>
    <row r="17" spans="1:15" ht="30.75" hidden="1" x14ac:dyDescent="0.25">
      <c r="A17" s="16" t="s">
        <v>98</v>
      </c>
      <c r="B17" s="40" t="s">
        <v>99</v>
      </c>
      <c r="C17" s="174" t="s">
        <v>48</v>
      </c>
      <c r="D17" s="67">
        <v>21300</v>
      </c>
      <c r="E17" s="174" t="s">
        <v>18</v>
      </c>
      <c r="F17" s="13">
        <f t="shared" si="4"/>
        <v>0</v>
      </c>
      <c r="G17" s="13"/>
      <c r="H17" s="13"/>
      <c r="I17" s="13"/>
      <c r="J17" s="13"/>
      <c r="K17" s="13"/>
      <c r="L17" s="13"/>
      <c r="M17" s="13"/>
      <c r="N17" s="13"/>
      <c r="O17" s="13"/>
    </row>
    <row r="18" spans="1:15" ht="20.25" hidden="1" x14ac:dyDescent="0.3">
      <c r="A18" s="862" t="s">
        <v>12</v>
      </c>
      <c r="B18" s="863"/>
      <c r="C18" s="863"/>
      <c r="D18" s="949">
        <v>212</v>
      </c>
      <c r="E18" s="949"/>
      <c r="F18" s="44">
        <f t="shared" si="4"/>
        <v>0</v>
      </c>
      <c r="G18" s="44">
        <f t="shared" ref="G18:O18" si="6">G19</f>
        <v>0</v>
      </c>
      <c r="H18" s="44">
        <f t="shared" si="6"/>
        <v>0</v>
      </c>
      <c r="I18" s="44">
        <f t="shared" si="6"/>
        <v>0</v>
      </c>
      <c r="J18" s="44">
        <f t="shared" si="6"/>
        <v>0</v>
      </c>
      <c r="K18" s="44">
        <f t="shared" si="6"/>
        <v>0</v>
      </c>
      <c r="L18" s="44">
        <f t="shared" si="6"/>
        <v>0</v>
      </c>
      <c r="M18" s="44">
        <f t="shared" si="6"/>
        <v>0</v>
      </c>
      <c r="N18" s="44">
        <f t="shared" si="6"/>
        <v>0</v>
      </c>
      <c r="O18" s="44">
        <f t="shared" si="6"/>
        <v>0</v>
      </c>
    </row>
    <row r="19" spans="1:15" ht="31.5" hidden="1" x14ac:dyDescent="0.3">
      <c r="A19" s="57" t="s">
        <v>112</v>
      </c>
      <c r="B19" s="166" t="s">
        <v>100</v>
      </c>
      <c r="C19" s="38">
        <v>112</v>
      </c>
      <c r="D19" s="41">
        <v>21201</v>
      </c>
      <c r="E19" s="174" t="s">
        <v>59</v>
      </c>
      <c r="F19" s="13">
        <f t="shared" si="4"/>
        <v>0</v>
      </c>
      <c r="G19" s="14"/>
      <c r="H19" s="14"/>
      <c r="I19" s="14"/>
      <c r="J19" s="14"/>
      <c r="K19" s="14"/>
      <c r="L19" s="14"/>
      <c r="M19" s="14"/>
      <c r="N19" s="14"/>
      <c r="O19" s="14"/>
    </row>
    <row r="20" spans="1:15" ht="20.25" hidden="1" x14ac:dyDescent="0.3">
      <c r="A20" s="872" t="s">
        <v>92</v>
      </c>
      <c r="B20" s="873"/>
      <c r="C20" s="873"/>
      <c r="D20" s="955">
        <v>220</v>
      </c>
      <c r="E20" s="955"/>
      <c r="F20" s="45">
        <f>F21+F22+F23+F27+F34</f>
        <v>0</v>
      </c>
      <c r="G20" s="45">
        <f t="shared" ref="G20:O20" si="7">G21+G22+G23+G27+G34</f>
        <v>0</v>
      </c>
      <c r="H20" s="45">
        <f t="shared" si="7"/>
        <v>0</v>
      </c>
      <c r="I20" s="45">
        <f t="shared" si="7"/>
        <v>0</v>
      </c>
      <c r="J20" s="45">
        <f t="shared" si="7"/>
        <v>0</v>
      </c>
      <c r="K20" s="45">
        <f t="shared" si="7"/>
        <v>0</v>
      </c>
      <c r="L20" s="45">
        <f t="shared" si="7"/>
        <v>0</v>
      </c>
      <c r="M20" s="45">
        <f t="shared" si="7"/>
        <v>0</v>
      </c>
      <c r="N20" s="45">
        <f t="shared" si="7"/>
        <v>0</v>
      </c>
      <c r="O20" s="45">
        <f t="shared" si="7"/>
        <v>0</v>
      </c>
    </row>
    <row r="21" spans="1:15" ht="20.25" hidden="1" x14ac:dyDescent="0.25">
      <c r="A21" s="51" t="s">
        <v>0</v>
      </c>
      <c r="B21" s="167" t="s">
        <v>100</v>
      </c>
      <c r="C21" s="53" t="s">
        <v>49</v>
      </c>
      <c r="D21" s="54">
        <v>22100</v>
      </c>
      <c r="E21" s="53" t="s">
        <v>113</v>
      </c>
      <c r="F21" s="48">
        <f>SUM(G21:O21)</f>
        <v>0</v>
      </c>
      <c r="G21" s="48"/>
      <c r="H21" s="48"/>
      <c r="I21" s="48"/>
      <c r="J21" s="48"/>
      <c r="K21" s="48"/>
      <c r="L21" s="48"/>
      <c r="M21" s="48"/>
      <c r="N21" s="48"/>
      <c r="O21" s="48"/>
    </row>
    <row r="22" spans="1:15" ht="20.25" hidden="1" x14ac:dyDescent="0.25">
      <c r="A22" s="51" t="s">
        <v>93</v>
      </c>
      <c r="B22" s="167" t="s">
        <v>100</v>
      </c>
      <c r="C22" s="53" t="s">
        <v>49</v>
      </c>
      <c r="D22" s="54">
        <v>22299</v>
      </c>
      <c r="E22" s="53" t="s">
        <v>60</v>
      </c>
      <c r="F22" s="48">
        <f>SUM(G22:O22)</f>
        <v>0</v>
      </c>
      <c r="G22" s="48"/>
      <c r="H22" s="48"/>
      <c r="I22" s="48"/>
      <c r="J22" s="48"/>
      <c r="K22" s="48"/>
      <c r="L22" s="48"/>
      <c r="M22" s="48"/>
      <c r="N22" s="48"/>
      <c r="O22" s="48"/>
    </row>
    <row r="23" spans="1:15" ht="20.25" hidden="1" x14ac:dyDescent="0.3">
      <c r="A23" s="862" t="s">
        <v>19</v>
      </c>
      <c r="B23" s="863"/>
      <c r="C23" s="863"/>
      <c r="D23" s="954">
        <v>223</v>
      </c>
      <c r="E23" s="954"/>
      <c r="F23" s="48">
        <f>SUM(F24:F26)</f>
        <v>0</v>
      </c>
      <c r="G23" s="48">
        <f t="shared" ref="G23:O23" si="8">SUM(G24:G26)</f>
        <v>0</v>
      </c>
      <c r="H23" s="48">
        <f t="shared" si="8"/>
        <v>0</v>
      </c>
      <c r="I23" s="48">
        <f t="shared" si="8"/>
        <v>0</v>
      </c>
      <c r="J23" s="48">
        <f t="shared" si="8"/>
        <v>0</v>
      </c>
      <c r="K23" s="48">
        <f t="shared" si="8"/>
        <v>0</v>
      </c>
      <c r="L23" s="48">
        <f t="shared" si="8"/>
        <v>0</v>
      </c>
      <c r="M23" s="48">
        <f t="shared" si="8"/>
        <v>0</v>
      </c>
      <c r="N23" s="48">
        <f t="shared" si="8"/>
        <v>0</v>
      </c>
      <c r="O23" s="48">
        <f t="shared" si="8"/>
        <v>0</v>
      </c>
    </row>
    <row r="24" spans="1:15" ht="20.25" hidden="1" x14ac:dyDescent="0.25">
      <c r="A24" s="37" t="s">
        <v>20</v>
      </c>
      <c r="B24" s="40" t="s">
        <v>102</v>
      </c>
      <c r="C24" s="174" t="s">
        <v>543</v>
      </c>
      <c r="D24" s="67">
        <v>22301</v>
      </c>
      <c r="E24" s="174" t="s">
        <v>69</v>
      </c>
      <c r="F24" s="13">
        <f>SUM(G24:O24)</f>
        <v>0</v>
      </c>
      <c r="G24" s="13"/>
      <c r="H24" s="13"/>
      <c r="I24" s="13"/>
      <c r="J24" s="13"/>
      <c r="K24" s="13"/>
      <c r="L24" s="13"/>
      <c r="M24" s="13"/>
      <c r="N24" s="13"/>
      <c r="O24" s="13"/>
    </row>
    <row r="25" spans="1:15" ht="30.75" hidden="1" x14ac:dyDescent="0.25">
      <c r="A25" s="20" t="s">
        <v>5</v>
      </c>
      <c r="B25" s="40" t="s">
        <v>102</v>
      </c>
      <c r="C25" s="174" t="s">
        <v>49</v>
      </c>
      <c r="D25" s="67">
        <v>22302</v>
      </c>
      <c r="E25" s="174" t="s">
        <v>69</v>
      </c>
      <c r="F25" s="13">
        <f>SUM(G25:O25)</f>
        <v>0</v>
      </c>
      <c r="G25" s="13"/>
      <c r="H25" s="13"/>
      <c r="I25" s="13"/>
      <c r="J25" s="13"/>
      <c r="K25" s="13"/>
      <c r="L25" s="13"/>
      <c r="M25" s="13"/>
      <c r="N25" s="13"/>
      <c r="O25" s="13"/>
    </row>
    <row r="26" spans="1:15" ht="30" hidden="1" x14ac:dyDescent="0.25">
      <c r="A26" s="37" t="s">
        <v>21</v>
      </c>
      <c r="B26" s="40" t="s">
        <v>102</v>
      </c>
      <c r="C26" s="174" t="s">
        <v>543</v>
      </c>
      <c r="D26" s="67">
        <v>22303</v>
      </c>
      <c r="E26" s="174" t="s">
        <v>69</v>
      </c>
      <c r="F26" s="13">
        <f>SUM(G26:O26)</f>
        <v>0</v>
      </c>
      <c r="G26" s="13"/>
      <c r="H26" s="13"/>
      <c r="I26" s="13"/>
      <c r="J26" s="13"/>
      <c r="K26" s="13"/>
      <c r="L26" s="13"/>
      <c r="M26" s="13"/>
      <c r="N26" s="13"/>
      <c r="O26" s="13"/>
    </row>
    <row r="27" spans="1:15" ht="20.25" hidden="1" x14ac:dyDescent="0.3">
      <c r="A27" s="862" t="s">
        <v>103</v>
      </c>
      <c r="B27" s="863"/>
      <c r="C27" s="863"/>
      <c r="D27" s="949">
        <v>225</v>
      </c>
      <c r="E27" s="949"/>
      <c r="F27" s="48">
        <f>SUM(F28:F33)</f>
        <v>0</v>
      </c>
      <c r="G27" s="48">
        <f t="shared" ref="G27:O27" si="9">SUM(G28:G30)</f>
        <v>0</v>
      </c>
      <c r="H27" s="48">
        <f t="shared" si="9"/>
        <v>0</v>
      </c>
      <c r="I27" s="48">
        <f t="shared" si="9"/>
        <v>0</v>
      </c>
      <c r="J27" s="48">
        <f t="shared" si="9"/>
        <v>0</v>
      </c>
      <c r="K27" s="48">
        <f t="shared" si="9"/>
        <v>0</v>
      </c>
      <c r="L27" s="48">
        <f t="shared" si="9"/>
        <v>0</v>
      </c>
      <c r="M27" s="48">
        <f t="shared" si="9"/>
        <v>0</v>
      </c>
      <c r="N27" s="48">
        <f t="shared" si="9"/>
        <v>0</v>
      </c>
      <c r="O27" s="48">
        <f t="shared" si="9"/>
        <v>0</v>
      </c>
    </row>
    <row r="28" spans="1:15" ht="20.25" hidden="1" x14ac:dyDescent="0.25">
      <c r="A28" s="42" t="s">
        <v>54</v>
      </c>
      <c r="B28" s="40" t="s">
        <v>100</v>
      </c>
      <c r="C28" s="174" t="s">
        <v>49</v>
      </c>
      <c r="D28" s="67">
        <v>22501</v>
      </c>
      <c r="E28" s="174" t="s">
        <v>104</v>
      </c>
      <c r="F28" s="13">
        <f t="shared" ref="F28:F42" si="10">SUM(G28:O28)</f>
        <v>0</v>
      </c>
      <c r="G28" s="13"/>
      <c r="H28" s="13"/>
      <c r="I28" s="13"/>
      <c r="J28" s="13"/>
      <c r="K28" s="13"/>
      <c r="L28" s="13"/>
      <c r="M28" s="13"/>
      <c r="N28" s="13"/>
      <c r="O28" s="13"/>
    </row>
    <row r="29" spans="1:15" ht="20.25" hidden="1" x14ac:dyDescent="0.25">
      <c r="A29" s="42" t="s">
        <v>58</v>
      </c>
      <c r="B29" s="40" t="s">
        <v>100</v>
      </c>
      <c r="C29" s="174" t="s">
        <v>49</v>
      </c>
      <c r="D29" s="67">
        <v>22502</v>
      </c>
      <c r="E29" s="174" t="s">
        <v>104</v>
      </c>
      <c r="F29" s="13">
        <f t="shared" si="10"/>
        <v>0</v>
      </c>
      <c r="G29" s="13"/>
      <c r="H29" s="13"/>
      <c r="I29" s="13"/>
      <c r="J29" s="13"/>
      <c r="K29" s="13"/>
      <c r="L29" s="13"/>
      <c r="M29" s="13"/>
      <c r="N29" s="13"/>
      <c r="O29" s="13"/>
    </row>
    <row r="30" spans="1:15" ht="20.25" hidden="1" x14ac:dyDescent="0.25">
      <c r="A30" s="43" t="s">
        <v>56</v>
      </c>
      <c r="B30" s="40" t="s">
        <v>100</v>
      </c>
      <c r="C30" s="174" t="s">
        <v>49</v>
      </c>
      <c r="D30" s="67">
        <v>22503</v>
      </c>
      <c r="E30" s="174" t="s">
        <v>104</v>
      </c>
      <c r="F30" s="13">
        <f t="shared" si="10"/>
        <v>0</v>
      </c>
      <c r="G30" s="13"/>
      <c r="H30" s="13"/>
      <c r="I30" s="13"/>
      <c r="J30" s="13"/>
      <c r="K30" s="13"/>
      <c r="L30" s="13"/>
      <c r="M30" s="13"/>
      <c r="N30" s="13"/>
      <c r="O30" s="13"/>
    </row>
    <row r="31" spans="1:15" ht="30.75" hidden="1" x14ac:dyDescent="0.25">
      <c r="A31" s="43" t="s">
        <v>57</v>
      </c>
      <c r="B31" s="40" t="s">
        <v>100</v>
      </c>
      <c r="C31" s="174" t="s">
        <v>49</v>
      </c>
      <c r="D31" s="67">
        <v>22504</v>
      </c>
      <c r="E31" s="174" t="s">
        <v>104</v>
      </c>
      <c r="F31" s="13">
        <f t="shared" si="10"/>
        <v>0</v>
      </c>
      <c r="G31" s="13"/>
      <c r="H31" s="13"/>
      <c r="I31" s="13"/>
      <c r="J31" s="13"/>
      <c r="K31" s="13"/>
      <c r="L31" s="13"/>
      <c r="M31" s="13"/>
      <c r="N31" s="13"/>
      <c r="O31" s="13"/>
    </row>
    <row r="32" spans="1:15" ht="20.25" hidden="1" x14ac:dyDescent="0.25">
      <c r="A32" s="42" t="s">
        <v>55</v>
      </c>
      <c r="B32" s="40" t="s">
        <v>100</v>
      </c>
      <c r="C32" s="174" t="s">
        <v>49</v>
      </c>
      <c r="D32" s="67">
        <v>22505</v>
      </c>
      <c r="E32" s="174" t="s">
        <v>104</v>
      </c>
      <c r="F32" s="13">
        <f t="shared" si="10"/>
        <v>0</v>
      </c>
      <c r="G32" s="13"/>
      <c r="H32" s="13"/>
      <c r="I32" s="13"/>
      <c r="J32" s="13"/>
      <c r="K32" s="13"/>
      <c r="L32" s="13"/>
      <c r="M32" s="13"/>
      <c r="N32" s="13"/>
      <c r="O32" s="13"/>
    </row>
    <row r="33" spans="1:15" ht="30.75" hidden="1" x14ac:dyDescent="0.25">
      <c r="A33" s="42" t="s">
        <v>22</v>
      </c>
      <c r="B33" s="40" t="s">
        <v>100</v>
      </c>
      <c r="C33" s="174" t="s">
        <v>49</v>
      </c>
      <c r="D33" s="67">
        <v>22599</v>
      </c>
      <c r="E33" s="174" t="s">
        <v>104</v>
      </c>
      <c r="F33" s="13">
        <f t="shared" si="10"/>
        <v>0</v>
      </c>
      <c r="G33" s="13"/>
      <c r="H33" s="13"/>
      <c r="I33" s="13"/>
      <c r="J33" s="13"/>
      <c r="K33" s="13"/>
      <c r="L33" s="13"/>
      <c r="M33" s="13"/>
      <c r="N33" s="13"/>
      <c r="O33" s="13"/>
    </row>
    <row r="34" spans="1:15" ht="20.25" hidden="1" x14ac:dyDescent="0.3">
      <c r="A34" s="862" t="s">
        <v>109</v>
      </c>
      <c r="B34" s="863"/>
      <c r="C34" s="863"/>
      <c r="D34" s="949">
        <v>226</v>
      </c>
      <c r="E34" s="949"/>
      <c r="F34" s="44">
        <f t="shared" si="10"/>
        <v>0</v>
      </c>
      <c r="G34" s="44">
        <f t="shared" ref="G34:O34" si="11">SUM(G35:G42)</f>
        <v>0</v>
      </c>
      <c r="H34" s="44">
        <f t="shared" si="11"/>
        <v>0</v>
      </c>
      <c r="I34" s="44">
        <f t="shared" si="11"/>
        <v>0</v>
      </c>
      <c r="J34" s="44">
        <f t="shared" si="11"/>
        <v>0</v>
      </c>
      <c r="K34" s="44">
        <f t="shared" si="11"/>
        <v>0</v>
      </c>
      <c r="L34" s="44">
        <f t="shared" si="11"/>
        <v>0</v>
      </c>
      <c r="M34" s="44">
        <f t="shared" si="11"/>
        <v>0</v>
      </c>
      <c r="N34" s="44">
        <f t="shared" si="11"/>
        <v>0</v>
      </c>
      <c r="O34" s="44">
        <f t="shared" si="11"/>
        <v>0</v>
      </c>
    </row>
    <row r="35" spans="1:15" ht="20.25" hidden="1" x14ac:dyDescent="0.25">
      <c r="A35" s="43" t="s">
        <v>33</v>
      </c>
      <c r="B35" s="40" t="s">
        <v>100</v>
      </c>
      <c r="C35" s="174" t="s">
        <v>49</v>
      </c>
      <c r="D35" s="67">
        <v>22601</v>
      </c>
      <c r="E35" s="174" t="s">
        <v>110</v>
      </c>
      <c r="F35" s="13">
        <f t="shared" si="10"/>
        <v>0</v>
      </c>
      <c r="G35" s="13"/>
      <c r="H35" s="13"/>
      <c r="I35" s="13"/>
      <c r="J35" s="13"/>
      <c r="K35" s="13"/>
      <c r="L35" s="13"/>
      <c r="M35" s="13"/>
      <c r="N35" s="13"/>
      <c r="O35" s="13"/>
    </row>
    <row r="36" spans="1:15" ht="31.5" hidden="1" x14ac:dyDescent="0.25">
      <c r="A36" s="42" t="s">
        <v>111</v>
      </c>
      <c r="B36" s="40" t="s">
        <v>100</v>
      </c>
      <c r="C36" s="174" t="s">
        <v>50</v>
      </c>
      <c r="D36" s="67">
        <v>22602</v>
      </c>
      <c r="E36" s="174" t="s">
        <v>110</v>
      </c>
      <c r="F36" s="13">
        <f t="shared" si="10"/>
        <v>0</v>
      </c>
      <c r="G36" s="13"/>
      <c r="H36" s="13"/>
      <c r="I36" s="13"/>
      <c r="J36" s="13"/>
      <c r="K36" s="13"/>
      <c r="L36" s="13"/>
      <c r="M36" s="13"/>
      <c r="N36" s="13"/>
      <c r="O36" s="13"/>
    </row>
    <row r="37" spans="1:15" ht="31.5" hidden="1" x14ac:dyDescent="0.25">
      <c r="A37" s="42" t="s">
        <v>114</v>
      </c>
      <c r="B37" s="40" t="s">
        <v>100</v>
      </c>
      <c r="C37" s="174" t="s">
        <v>115</v>
      </c>
      <c r="D37" s="67">
        <v>22602</v>
      </c>
      <c r="E37" s="174" t="s">
        <v>110</v>
      </c>
      <c r="F37" s="13">
        <f t="shared" si="10"/>
        <v>0</v>
      </c>
      <c r="G37" s="13"/>
      <c r="H37" s="13"/>
      <c r="I37" s="13"/>
      <c r="J37" s="13"/>
      <c r="K37" s="13"/>
      <c r="L37" s="13"/>
      <c r="M37" s="13"/>
      <c r="N37" s="13"/>
      <c r="O37" s="13"/>
    </row>
    <row r="38" spans="1:15" ht="20.25" hidden="1" x14ac:dyDescent="0.25">
      <c r="A38" s="42" t="s">
        <v>23</v>
      </c>
      <c r="B38" s="40" t="s">
        <v>100</v>
      </c>
      <c r="C38" s="174" t="s">
        <v>49</v>
      </c>
      <c r="D38" s="67">
        <v>22603</v>
      </c>
      <c r="E38" s="174" t="s">
        <v>110</v>
      </c>
      <c r="F38" s="13">
        <f t="shared" si="10"/>
        <v>0</v>
      </c>
      <c r="G38" s="13"/>
      <c r="H38" s="13"/>
      <c r="I38" s="13"/>
      <c r="J38" s="13"/>
      <c r="K38" s="13"/>
      <c r="L38" s="13"/>
      <c r="M38" s="13"/>
      <c r="N38" s="13"/>
      <c r="O38" s="13"/>
    </row>
    <row r="39" spans="1:15" ht="30.75" hidden="1" x14ac:dyDescent="0.25">
      <c r="A39" s="42" t="s">
        <v>24</v>
      </c>
      <c r="B39" s="40" t="s">
        <v>100</v>
      </c>
      <c r="C39" s="174" t="s">
        <v>49</v>
      </c>
      <c r="D39" s="67">
        <v>22605</v>
      </c>
      <c r="E39" s="174" t="s">
        <v>110</v>
      </c>
      <c r="F39" s="13">
        <f t="shared" si="10"/>
        <v>0</v>
      </c>
      <c r="G39" s="13"/>
      <c r="H39" s="13"/>
      <c r="I39" s="13"/>
      <c r="J39" s="13"/>
      <c r="K39" s="13"/>
      <c r="L39" s="13"/>
      <c r="M39" s="13"/>
      <c r="N39" s="13"/>
      <c r="O39" s="13"/>
    </row>
    <row r="40" spans="1:15" ht="46.5" hidden="1" x14ac:dyDescent="0.25">
      <c r="A40" s="42" t="s">
        <v>116</v>
      </c>
      <c r="B40" s="40" t="s">
        <v>100</v>
      </c>
      <c r="C40" s="174" t="s">
        <v>50</v>
      </c>
      <c r="D40" s="67">
        <v>22606</v>
      </c>
      <c r="E40" s="174" t="s">
        <v>110</v>
      </c>
      <c r="F40" s="13">
        <f t="shared" si="10"/>
        <v>0</v>
      </c>
      <c r="G40" s="13"/>
      <c r="H40" s="13"/>
      <c r="I40" s="13"/>
      <c r="J40" s="13"/>
      <c r="K40" s="13"/>
      <c r="L40" s="13"/>
      <c r="M40" s="13"/>
      <c r="N40" s="13"/>
      <c r="O40" s="13"/>
    </row>
    <row r="41" spans="1:15" ht="31.5" hidden="1" x14ac:dyDescent="0.25">
      <c r="A41" s="42" t="s">
        <v>117</v>
      </c>
      <c r="B41" s="40" t="s">
        <v>100</v>
      </c>
      <c r="C41" s="174" t="s">
        <v>50</v>
      </c>
      <c r="D41" s="67">
        <v>22699</v>
      </c>
      <c r="E41" s="174" t="s">
        <v>110</v>
      </c>
      <c r="F41" s="13">
        <f t="shared" si="10"/>
        <v>0</v>
      </c>
      <c r="G41" s="13"/>
      <c r="H41" s="13"/>
      <c r="I41" s="13"/>
      <c r="J41" s="13"/>
      <c r="K41" s="13"/>
      <c r="L41" s="13"/>
      <c r="M41" s="13"/>
      <c r="N41" s="13"/>
      <c r="O41" s="13"/>
    </row>
    <row r="42" spans="1:15" ht="30.75" hidden="1" x14ac:dyDescent="0.25">
      <c r="A42" s="42" t="s">
        <v>25</v>
      </c>
      <c r="B42" s="40" t="s">
        <v>100</v>
      </c>
      <c r="C42" s="174" t="s">
        <v>49</v>
      </c>
      <c r="D42" s="67">
        <v>22699</v>
      </c>
      <c r="E42" s="174" t="s">
        <v>110</v>
      </c>
      <c r="F42" s="13">
        <f t="shared" si="10"/>
        <v>0</v>
      </c>
      <c r="G42" s="13"/>
      <c r="H42" s="13"/>
      <c r="I42" s="13"/>
      <c r="J42" s="13"/>
      <c r="K42" s="13"/>
      <c r="L42" s="13"/>
      <c r="M42" s="13"/>
      <c r="N42" s="13"/>
      <c r="O42" s="13"/>
    </row>
    <row r="43" spans="1:15" ht="34.5" hidden="1" customHeight="1" x14ac:dyDescent="0.3">
      <c r="A43" s="872" t="s">
        <v>499</v>
      </c>
      <c r="B43" s="873"/>
      <c r="C43" s="873"/>
      <c r="D43" s="947">
        <v>26300</v>
      </c>
      <c r="E43" s="947"/>
      <c r="F43" s="45">
        <f t="shared" ref="F43" si="12">SUM(F44)</f>
        <v>0</v>
      </c>
      <c r="G43" s="45">
        <f t="shared" ref="G43:J43" si="13">G44</f>
        <v>0</v>
      </c>
      <c r="H43" s="45">
        <f t="shared" si="13"/>
        <v>0</v>
      </c>
      <c r="I43" s="45">
        <f t="shared" si="13"/>
        <v>0</v>
      </c>
      <c r="J43" s="45">
        <f t="shared" si="13"/>
        <v>0</v>
      </c>
      <c r="K43" s="45">
        <f t="shared" ref="K43:O43" si="14">SUM(K44)</f>
        <v>0</v>
      </c>
      <c r="L43" s="45">
        <f t="shared" ref="L43" si="15">L44</f>
        <v>0</v>
      </c>
      <c r="M43" s="45">
        <f t="shared" ref="M43" si="16">SUM(M44)</f>
        <v>0</v>
      </c>
      <c r="N43" s="45">
        <f t="shared" si="14"/>
        <v>0</v>
      </c>
      <c r="O43" s="45">
        <f t="shared" si="14"/>
        <v>0</v>
      </c>
    </row>
    <row r="44" spans="1:15" ht="32.25" hidden="1" customHeight="1" x14ac:dyDescent="0.25">
      <c r="A44" s="42" t="s">
        <v>500</v>
      </c>
      <c r="B44" s="40" t="s">
        <v>100</v>
      </c>
      <c r="C44" s="174" t="s">
        <v>281</v>
      </c>
      <c r="D44" s="67">
        <v>26300</v>
      </c>
      <c r="E44" s="174" t="s">
        <v>501</v>
      </c>
      <c r="F44" s="13">
        <f>SUM(G44:O44)</f>
        <v>0</v>
      </c>
      <c r="G44" s="13"/>
      <c r="H44" s="13"/>
      <c r="I44" s="13"/>
      <c r="J44" s="13"/>
      <c r="K44" s="13"/>
      <c r="L44" s="13"/>
      <c r="M44" s="13"/>
      <c r="N44" s="13"/>
      <c r="O44" s="13"/>
    </row>
    <row r="45" spans="1:15" ht="20.25" hidden="1" x14ac:dyDescent="0.3">
      <c r="A45" s="872" t="s">
        <v>121</v>
      </c>
      <c r="B45" s="873"/>
      <c r="C45" s="873"/>
      <c r="D45" s="947">
        <v>266</v>
      </c>
      <c r="E45" s="947"/>
      <c r="F45" s="45">
        <f>SUM(G45:O45)</f>
        <v>0</v>
      </c>
      <c r="G45" s="45">
        <f t="shared" ref="G45:O45" si="17">SUM(G46:G48)</f>
        <v>0</v>
      </c>
      <c r="H45" s="45">
        <f t="shared" si="17"/>
        <v>0</v>
      </c>
      <c r="I45" s="45">
        <f t="shared" si="17"/>
        <v>0</v>
      </c>
      <c r="J45" s="45">
        <f t="shared" si="17"/>
        <v>0</v>
      </c>
      <c r="K45" s="45">
        <f t="shared" si="17"/>
        <v>0</v>
      </c>
      <c r="L45" s="45">
        <f t="shared" ref="L45:M45" si="18">SUM(L46:L48)</f>
        <v>0</v>
      </c>
      <c r="M45" s="45">
        <f t="shared" si="18"/>
        <v>0</v>
      </c>
      <c r="N45" s="45">
        <f t="shared" si="17"/>
        <v>0</v>
      </c>
      <c r="O45" s="45">
        <f t="shared" si="17"/>
        <v>0</v>
      </c>
    </row>
    <row r="46" spans="1:15" ht="31.5" hidden="1" x14ac:dyDescent="0.25">
      <c r="A46" s="42" t="s">
        <v>118</v>
      </c>
      <c r="B46" s="40" t="s">
        <v>96</v>
      </c>
      <c r="C46" s="174" t="s">
        <v>47</v>
      </c>
      <c r="D46" s="67">
        <v>26600</v>
      </c>
      <c r="E46" s="174" t="s">
        <v>91</v>
      </c>
      <c r="F46" s="13">
        <f>SUM(G46:O46)</f>
        <v>0</v>
      </c>
      <c r="G46" s="13"/>
      <c r="H46" s="13"/>
      <c r="I46" s="13"/>
      <c r="J46" s="13"/>
      <c r="K46" s="13"/>
      <c r="L46" s="13"/>
      <c r="M46" s="13"/>
      <c r="N46" s="13"/>
      <c r="O46" s="13"/>
    </row>
    <row r="47" spans="1:15" ht="31.5" hidden="1" x14ac:dyDescent="0.25">
      <c r="A47" s="42" t="s">
        <v>119</v>
      </c>
      <c r="B47" s="40" t="s">
        <v>100</v>
      </c>
      <c r="C47" s="174" t="s">
        <v>50</v>
      </c>
      <c r="D47" s="67">
        <v>26601</v>
      </c>
      <c r="E47" s="174" t="s">
        <v>91</v>
      </c>
      <c r="F47" s="13">
        <f>SUM(G47:O47)</f>
        <v>0</v>
      </c>
      <c r="G47" s="13"/>
      <c r="H47" s="13"/>
      <c r="I47" s="13"/>
      <c r="J47" s="13"/>
      <c r="K47" s="13"/>
      <c r="L47" s="13"/>
      <c r="M47" s="13"/>
      <c r="N47" s="13"/>
      <c r="O47" s="13"/>
    </row>
    <row r="48" spans="1:15" ht="47.25" hidden="1" x14ac:dyDescent="0.25">
      <c r="A48" s="42" t="s">
        <v>120</v>
      </c>
      <c r="B48" s="40" t="s">
        <v>99</v>
      </c>
      <c r="C48" s="174" t="s">
        <v>50</v>
      </c>
      <c r="D48" s="67">
        <v>26602</v>
      </c>
      <c r="E48" s="174" t="s">
        <v>91</v>
      </c>
      <c r="F48" s="13">
        <f>SUM(G48:O48)</f>
        <v>0</v>
      </c>
      <c r="G48" s="13"/>
      <c r="H48" s="13"/>
      <c r="I48" s="13"/>
      <c r="J48" s="13"/>
      <c r="K48" s="13"/>
      <c r="L48" s="13"/>
      <c r="M48" s="13"/>
      <c r="N48" s="13"/>
      <c r="O48" s="13"/>
    </row>
    <row r="49" spans="1:15" s="1" customFormat="1" ht="20.25" hidden="1" x14ac:dyDescent="0.3">
      <c r="A49" s="872" t="s">
        <v>31</v>
      </c>
      <c r="B49" s="873"/>
      <c r="C49" s="873"/>
      <c r="D49" s="947">
        <v>290</v>
      </c>
      <c r="E49" s="947"/>
      <c r="F49" s="45">
        <f>SUM(F50:F56)</f>
        <v>0</v>
      </c>
      <c r="G49" s="45">
        <f t="shared" ref="G49:O49" si="19">SUM(G50:G56)</f>
        <v>0</v>
      </c>
      <c r="H49" s="45">
        <f t="shared" si="19"/>
        <v>0</v>
      </c>
      <c r="I49" s="45">
        <f t="shared" si="19"/>
        <v>0</v>
      </c>
      <c r="J49" s="45">
        <f t="shared" si="19"/>
        <v>0</v>
      </c>
      <c r="K49" s="45">
        <f t="shared" si="19"/>
        <v>0</v>
      </c>
      <c r="L49" s="45">
        <f t="shared" ref="L49:M49" si="20">SUM(L50:L56)</f>
        <v>0</v>
      </c>
      <c r="M49" s="45">
        <f t="shared" si="20"/>
        <v>0</v>
      </c>
      <c r="N49" s="45">
        <f t="shared" si="19"/>
        <v>0</v>
      </c>
      <c r="O49" s="45">
        <f t="shared" si="19"/>
        <v>0</v>
      </c>
    </row>
    <row r="50" spans="1:15" ht="20.25" hidden="1" x14ac:dyDescent="0.25">
      <c r="A50" s="27" t="s">
        <v>513</v>
      </c>
      <c r="B50" s="40" t="s">
        <v>100</v>
      </c>
      <c r="C50" s="950" t="s">
        <v>51</v>
      </c>
      <c r="D50" s="67">
        <v>29101</v>
      </c>
      <c r="E50" s="950" t="s">
        <v>123</v>
      </c>
      <c r="F50" s="13">
        <f t="shared" ref="F50:F56" si="21">SUM(G50:O50)</f>
        <v>0</v>
      </c>
      <c r="G50" s="13"/>
      <c r="H50" s="13"/>
      <c r="I50" s="13"/>
      <c r="J50" s="13"/>
      <c r="K50" s="13"/>
      <c r="L50" s="13"/>
      <c r="M50" s="13"/>
      <c r="N50" s="13"/>
      <c r="O50" s="13"/>
    </row>
    <row r="51" spans="1:15" ht="20.25" hidden="1" x14ac:dyDescent="0.25">
      <c r="A51" s="27" t="s">
        <v>514</v>
      </c>
      <c r="B51" s="40" t="s">
        <v>100</v>
      </c>
      <c r="C51" s="950"/>
      <c r="D51" s="67">
        <v>29102</v>
      </c>
      <c r="E51" s="950"/>
      <c r="F51" s="13">
        <f t="shared" si="21"/>
        <v>0</v>
      </c>
      <c r="G51" s="13"/>
      <c r="H51" s="13"/>
      <c r="I51" s="13"/>
      <c r="J51" s="13"/>
      <c r="K51" s="13"/>
      <c r="L51" s="13"/>
      <c r="M51" s="13"/>
      <c r="N51" s="13"/>
      <c r="O51" s="13"/>
    </row>
    <row r="52" spans="1:15" ht="20.25" hidden="1" x14ac:dyDescent="0.25">
      <c r="A52" s="27" t="s">
        <v>542</v>
      </c>
      <c r="B52" s="40" t="s">
        <v>100</v>
      </c>
      <c r="C52" s="174" t="s">
        <v>52</v>
      </c>
      <c r="D52" s="67">
        <v>29104</v>
      </c>
      <c r="E52" s="174" t="s">
        <v>123</v>
      </c>
      <c r="F52" s="13">
        <f t="shared" si="21"/>
        <v>0</v>
      </c>
      <c r="G52" s="13"/>
      <c r="H52" s="13"/>
      <c r="I52" s="13"/>
      <c r="J52" s="13"/>
      <c r="K52" s="13"/>
      <c r="L52" s="13"/>
      <c r="M52" s="13"/>
      <c r="N52" s="13"/>
      <c r="O52" s="13"/>
    </row>
    <row r="53" spans="1:15" ht="26.25" hidden="1" x14ac:dyDescent="0.25">
      <c r="A53" s="58" t="s">
        <v>125</v>
      </c>
      <c r="B53" s="40" t="s">
        <v>100</v>
      </c>
      <c r="C53" s="174" t="s">
        <v>53</v>
      </c>
      <c r="D53" s="67">
        <v>29001</v>
      </c>
      <c r="E53" s="174" t="s">
        <v>127</v>
      </c>
      <c r="F53" s="13">
        <f t="shared" si="21"/>
        <v>0</v>
      </c>
      <c r="G53" s="13"/>
      <c r="H53" s="13"/>
      <c r="I53" s="13"/>
      <c r="J53" s="13"/>
      <c r="K53" s="13"/>
      <c r="L53" s="13"/>
      <c r="M53" s="13"/>
      <c r="N53" s="13"/>
      <c r="O53" s="13"/>
    </row>
    <row r="54" spans="1:15" ht="26.25" hidden="1" x14ac:dyDescent="0.25">
      <c r="A54" s="58" t="s">
        <v>126</v>
      </c>
      <c r="B54" s="40" t="s">
        <v>100</v>
      </c>
      <c r="C54" s="174" t="s">
        <v>53</v>
      </c>
      <c r="D54" s="67">
        <v>29001</v>
      </c>
      <c r="E54" s="174" t="s">
        <v>128</v>
      </c>
      <c r="F54" s="13">
        <f t="shared" si="21"/>
        <v>0</v>
      </c>
      <c r="G54" s="13"/>
      <c r="H54" s="13"/>
      <c r="I54" s="13"/>
      <c r="J54" s="13"/>
      <c r="K54" s="13"/>
      <c r="L54" s="13"/>
      <c r="M54" s="13"/>
      <c r="N54" s="13"/>
      <c r="O54" s="13"/>
    </row>
    <row r="55" spans="1:15" ht="26.25" hidden="1" x14ac:dyDescent="0.25">
      <c r="A55" s="59" t="s">
        <v>130</v>
      </c>
      <c r="B55" s="40" t="s">
        <v>100</v>
      </c>
      <c r="C55" s="174" t="s">
        <v>53</v>
      </c>
      <c r="D55" s="67">
        <v>29001</v>
      </c>
      <c r="E55" s="174" t="s">
        <v>129</v>
      </c>
      <c r="F55" s="13">
        <f t="shared" si="21"/>
        <v>0</v>
      </c>
      <c r="G55" s="13"/>
      <c r="H55" s="13"/>
      <c r="I55" s="13"/>
      <c r="J55" s="13"/>
      <c r="K55" s="13"/>
      <c r="L55" s="13"/>
      <c r="M55" s="13"/>
      <c r="N55" s="13"/>
      <c r="O55" s="13"/>
    </row>
    <row r="56" spans="1:15" ht="26.25" hidden="1" x14ac:dyDescent="0.25">
      <c r="A56" s="59" t="s">
        <v>130</v>
      </c>
      <c r="B56" s="40" t="s">
        <v>100</v>
      </c>
      <c r="C56" s="174" t="s">
        <v>53</v>
      </c>
      <c r="D56" s="67">
        <v>29099</v>
      </c>
      <c r="E56" s="174" t="s">
        <v>624</v>
      </c>
      <c r="F56" s="13">
        <f t="shared" si="21"/>
        <v>0</v>
      </c>
      <c r="G56" s="13"/>
      <c r="H56" s="13"/>
      <c r="I56" s="13"/>
      <c r="J56" s="13"/>
      <c r="K56" s="13"/>
      <c r="L56" s="13"/>
      <c r="M56" s="13"/>
      <c r="N56" s="13"/>
      <c r="O56" s="13"/>
    </row>
    <row r="57" spans="1:15" ht="20.25" hidden="1" x14ac:dyDescent="0.3">
      <c r="A57" s="872" t="s">
        <v>131</v>
      </c>
      <c r="B57" s="873"/>
      <c r="C57" s="873"/>
      <c r="D57" s="948">
        <v>300</v>
      </c>
      <c r="E57" s="948"/>
      <c r="F57" s="45">
        <f>F58+F63</f>
        <v>1955438</v>
      </c>
      <c r="G57" s="45">
        <f t="shared" ref="G57:O57" si="22">G58+G63</f>
        <v>289542</v>
      </c>
      <c r="H57" s="45">
        <f t="shared" si="22"/>
        <v>5909</v>
      </c>
      <c r="I57" s="45">
        <f t="shared" si="22"/>
        <v>1412628</v>
      </c>
      <c r="J57" s="45">
        <f t="shared" si="22"/>
        <v>0</v>
      </c>
      <c r="K57" s="45">
        <f t="shared" si="22"/>
        <v>28829</v>
      </c>
      <c r="L57" s="45">
        <f t="shared" si="22"/>
        <v>0</v>
      </c>
      <c r="M57" s="45">
        <f t="shared" si="22"/>
        <v>0</v>
      </c>
      <c r="N57" s="45">
        <f t="shared" si="22"/>
        <v>77795</v>
      </c>
      <c r="O57" s="45">
        <f t="shared" si="22"/>
        <v>140735</v>
      </c>
    </row>
    <row r="58" spans="1:15" ht="20.25" hidden="1" x14ac:dyDescent="0.3">
      <c r="A58" s="862" t="s">
        <v>13</v>
      </c>
      <c r="B58" s="863"/>
      <c r="C58" s="863"/>
      <c r="D58" s="949">
        <v>310</v>
      </c>
      <c r="E58" s="949"/>
      <c r="F58" s="44">
        <f>SUM(G58:O58)</f>
        <v>0</v>
      </c>
      <c r="G58" s="44">
        <f>SUM(G59:G62)</f>
        <v>0</v>
      </c>
      <c r="H58" s="44">
        <f>SUM(H59:H62)</f>
        <v>0</v>
      </c>
      <c r="I58" s="44">
        <f>SUM(I59:I62)</f>
        <v>0</v>
      </c>
      <c r="J58" s="44">
        <f>SUM(J59:J62)</f>
        <v>0</v>
      </c>
      <c r="K58" s="44">
        <f>SUM(K59:K62)</f>
        <v>0</v>
      </c>
      <c r="L58" s="44">
        <f t="shared" ref="L58:M58" si="23">SUM(L59:L62)</f>
        <v>0</v>
      </c>
      <c r="M58" s="44">
        <f t="shared" si="23"/>
        <v>0</v>
      </c>
      <c r="N58" s="44">
        <f t="shared" ref="N58:O58" si="24">SUM(N59:N62)</f>
        <v>0</v>
      </c>
      <c r="O58" s="44">
        <f t="shared" si="24"/>
        <v>0</v>
      </c>
    </row>
    <row r="59" spans="1:15" ht="20.25" hidden="1" x14ac:dyDescent="0.25">
      <c r="A59" s="16" t="s">
        <v>132</v>
      </c>
      <c r="B59" s="40" t="s">
        <v>133</v>
      </c>
      <c r="C59" s="174" t="s">
        <v>49</v>
      </c>
      <c r="D59" s="67">
        <v>31003</v>
      </c>
      <c r="E59" s="174" t="s">
        <v>61</v>
      </c>
      <c r="F59" s="13">
        <f>SUM(G59:O59)</f>
        <v>0</v>
      </c>
      <c r="G59" s="13"/>
      <c r="H59" s="13"/>
      <c r="I59" s="13"/>
      <c r="J59" s="13"/>
      <c r="K59" s="13"/>
      <c r="L59" s="13"/>
      <c r="M59" s="13"/>
      <c r="N59" s="13"/>
      <c r="O59" s="13"/>
    </row>
    <row r="60" spans="1:15" ht="20.25" hidden="1" x14ac:dyDescent="0.25">
      <c r="A60" s="16" t="s">
        <v>6</v>
      </c>
      <c r="B60" s="40" t="s">
        <v>133</v>
      </c>
      <c r="C60" s="174" t="s">
        <v>49</v>
      </c>
      <c r="D60" s="67">
        <v>31004</v>
      </c>
      <c r="E60" s="174" t="s">
        <v>61</v>
      </c>
      <c r="F60" s="13">
        <f>SUM(G60:O60)</f>
        <v>0</v>
      </c>
      <c r="G60" s="13"/>
      <c r="H60" s="13"/>
      <c r="I60" s="13"/>
      <c r="J60" s="13"/>
      <c r="K60" s="13"/>
      <c r="L60" s="13"/>
      <c r="M60" s="13"/>
      <c r="N60" s="13"/>
      <c r="O60" s="13"/>
    </row>
    <row r="61" spans="1:15" ht="20.25" hidden="1" x14ac:dyDescent="0.25">
      <c r="A61" s="16" t="s">
        <v>7</v>
      </c>
      <c r="B61" s="40" t="s">
        <v>133</v>
      </c>
      <c r="C61" s="174" t="s">
        <v>49</v>
      </c>
      <c r="D61" s="67">
        <v>31005</v>
      </c>
      <c r="E61" s="174" t="s">
        <v>61</v>
      </c>
      <c r="F61" s="13">
        <f>SUM(G61:O61)</f>
        <v>0</v>
      </c>
      <c r="G61" s="13"/>
      <c r="H61" s="13"/>
      <c r="I61" s="13"/>
      <c r="J61" s="13"/>
      <c r="K61" s="13"/>
      <c r="L61" s="13"/>
      <c r="M61" s="13"/>
      <c r="N61" s="13"/>
      <c r="O61" s="13"/>
    </row>
    <row r="62" spans="1:15" ht="30.75" hidden="1" x14ac:dyDescent="0.25">
      <c r="A62" s="16" t="s">
        <v>8</v>
      </c>
      <c r="B62" s="40" t="s">
        <v>133</v>
      </c>
      <c r="C62" s="174" t="s">
        <v>49</v>
      </c>
      <c r="D62" s="67">
        <v>31099</v>
      </c>
      <c r="E62" s="174" t="s">
        <v>61</v>
      </c>
      <c r="F62" s="13">
        <f>SUM(G62:O62)</f>
        <v>0</v>
      </c>
      <c r="G62" s="13"/>
      <c r="H62" s="13"/>
      <c r="I62" s="13"/>
      <c r="J62" s="13"/>
      <c r="K62" s="13"/>
      <c r="L62" s="13"/>
      <c r="M62" s="13"/>
      <c r="N62" s="13"/>
      <c r="O62" s="13"/>
    </row>
    <row r="63" spans="1:15" ht="34.5" customHeight="1" x14ac:dyDescent="0.3">
      <c r="A63" s="862" t="s">
        <v>14</v>
      </c>
      <c r="B63" s="863"/>
      <c r="C63" s="863"/>
      <c r="D63" s="949">
        <v>340</v>
      </c>
      <c r="E63" s="949"/>
      <c r="F63" s="44">
        <f>F64+F65+F66+F67+F68+F69</f>
        <v>1955438</v>
      </c>
      <c r="G63" s="44">
        <f t="shared" ref="G63:O63" si="25">G64+G65+G66+G67+G68+G69</f>
        <v>289542</v>
      </c>
      <c r="H63" s="44">
        <f t="shared" si="25"/>
        <v>5909</v>
      </c>
      <c r="I63" s="44">
        <f t="shared" si="25"/>
        <v>1412628</v>
      </c>
      <c r="J63" s="44">
        <f t="shared" si="25"/>
        <v>0</v>
      </c>
      <c r="K63" s="44">
        <f t="shared" si="25"/>
        <v>28829</v>
      </c>
      <c r="L63" s="44">
        <f t="shared" si="25"/>
        <v>0</v>
      </c>
      <c r="M63" s="44">
        <f t="shared" si="25"/>
        <v>0</v>
      </c>
      <c r="N63" s="44">
        <f t="shared" si="25"/>
        <v>77795</v>
      </c>
      <c r="O63" s="44">
        <f t="shared" si="25"/>
        <v>140735</v>
      </c>
    </row>
    <row r="64" spans="1:15" ht="34.5" customHeight="1" x14ac:dyDescent="0.25">
      <c r="A64" s="42" t="s">
        <v>3</v>
      </c>
      <c r="B64" s="40" t="s">
        <v>100</v>
      </c>
      <c r="C64" s="174" t="s">
        <v>49</v>
      </c>
      <c r="D64" s="67">
        <v>34001</v>
      </c>
      <c r="E64" s="174" t="s">
        <v>82</v>
      </c>
      <c r="F64" s="13">
        <f>SUM(G64:O64)</f>
        <v>0</v>
      </c>
      <c r="G64" s="13"/>
      <c r="H64" s="13"/>
      <c r="I64" s="13"/>
      <c r="J64" s="13"/>
      <c r="K64" s="13"/>
      <c r="L64" s="13"/>
      <c r="M64" s="13"/>
      <c r="N64" s="13"/>
      <c r="O64" s="13"/>
    </row>
    <row r="65" spans="1:15" ht="30.75" customHeight="1" x14ac:dyDescent="0.3">
      <c r="A65" s="168" t="s">
        <v>1</v>
      </c>
      <c r="B65" s="169" t="s">
        <v>100</v>
      </c>
      <c r="C65" s="170" t="s">
        <v>49</v>
      </c>
      <c r="D65" s="171">
        <v>34002</v>
      </c>
      <c r="E65" s="170" t="s">
        <v>83</v>
      </c>
      <c r="F65" s="154">
        <f>SUM(G65:O65)</f>
        <v>1955438</v>
      </c>
      <c r="G65" s="316">
        <f>289542</f>
        <v>289542</v>
      </c>
      <c r="H65" s="316">
        <f>5909</f>
        <v>5909</v>
      </c>
      <c r="I65" s="960">
        <f>805196+607432</f>
        <v>1412628</v>
      </c>
      <c r="J65" s="961"/>
      <c r="K65" s="316">
        <f>28829</f>
        <v>28829</v>
      </c>
      <c r="L65" s="316">
        <v>0</v>
      </c>
      <c r="M65" s="316">
        <v>0</v>
      </c>
      <c r="N65" s="154">
        <v>77795</v>
      </c>
      <c r="O65" s="154">
        <f>140735</f>
        <v>140735</v>
      </c>
    </row>
    <row r="66" spans="1:15" ht="22.5" customHeight="1" x14ac:dyDescent="0.25">
      <c r="A66" s="42" t="s">
        <v>134</v>
      </c>
      <c r="B66" s="40" t="s">
        <v>135</v>
      </c>
      <c r="C66" s="174" t="s">
        <v>49</v>
      </c>
      <c r="D66" s="67">
        <v>34002</v>
      </c>
      <c r="E66" s="174" t="s">
        <v>83</v>
      </c>
      <c r="F66" s="13">
        <f>SUM(G66:O66)</f>
        <v>0</v>
      </c>
      <c r="G66" s="13"/>
      <c r="H66" s="13"/>
      <c r="I66" s="13"/>
      <c r="J66" s="13"/>
      <c r="K66" s="13"/>
      <c r="L66" s="13"/>
      <c r="M66" s="13"/>
      <c r="N66" s="13"/>
      <c r="O66" s="13"/>
    </row>
    <row r="67" spans="1:15" ht="24.75" customHeight="1" x14ac:dyDescent="0.25">
      <c r="A67" s="42" t="s">
        <v>27</v>
      </c>
      <c r="B67" s="40" t="s">
        <v>100</v>
      </c>
      <c r="C67" s="174" t="s">
        <v>49</v>
      </c>
      <c r="D67" s="67">
        <v>34003</v>
      </c>
      <c r="E67" s="174" t="s">
        <v>84</v>
      </c>
      <c r="F67" s="13">
        <f>SUM(G67:O67)</f>
        <v>0</v>
      </c>
      <c r="G67" s="13"/>
      <c r="H67" s="13"/>
      <c r="I67" s="13"/>
      <c r="J67" s="13"/>
      <c r="K67" s="13"/>
      <c r="L67" s="13"/>
      <c r="M67" s="13"/>
      <c r="N67" s="13"/>
      <c r="O67" s="13"/>
    </row>
    <row r="68" spans="1:15" ht="30.75" customHeight="1" x14ac:dyDescent="0.25">
      <c r="A68" s="42" t="s">
        <v>28</v>
      </c>
      <c r="B68" s="40" t="s">
        <v>100</v>
      </c>
      <c r="C68" s="174" t="s">
        <v>49</v>
      </c>
      <c r="D68" s="67">
        <v>34004</v>
      </c>
      <c r="E68" s="174" t="s">
        <v>85</v>
      </c>
      <c r="F68" s="13">
        <f>SUM(G68:O68)</f>
        <v>0</v>
      </c>
      <c r="G68" s="13"/>
      <c r="H68" s="13"/>
      <c r="I68" s="13"/>
      <c r="J68" s="13"/>
      <c r="K68" s="13"/>
      <c r="L68" s="13"/>
      <c r="M68" s="13"/>
      <c r="N68" s="13"/>
      <c r="O68" s="13"/>
    </row>
    <row r="69" spans="1:15" ht="41.25" customHeight="1" x14ac:dyDescent="0.25">
      <c r="A69" s="951" t="s">
        <v>29</v>
      </c>
      <c r="B69" s="952"/>
      <c r="C69" s="952"/>
      <c r="D69" s="953">
        <v>34099</v>
      </c>
      <c r="E69" s="953"/>
      <c r="F69" s="32">
        <f>SUM(F70:F72)</f>
        <v>0</v>
      </c>
      <c r="G69" s="32">
        <f t="shared" ref="G69:O69" si="26">SUM(G70:G72)</f>
        <v>0</v>
      </c>
      <c r="H69" s="32">
        <f t="shared" si="26"/>
        <v>0</v>
      </c>
      <c r="I69" s="32">
        <f t="shared" si="26"/>
        <v>0</v>
      </c>
      <c r="J69" s="32">
        <f t="shared" si="26"/>
        <v>0</v>
      </c>
      <c r="K69" s="32">
        <f t="shared" si="26"/>
        <v>0</v>
      </c>
      <c r="L69" s="32">
        <f t="shared" si="26"/>
        <v>0</v>
      </c>
      <c r="M69" s="32">
        <f t="shared" si="26"/>
        <v>0</v>
      </c>
      <c r="N69" s="32">
        <f t="shared" si="26"/>
        <v>0</v>
      </c>
      <c r="O69" s="32">
        <f t="shared" si="26"/>
        <v>0</v>
      </c>
    </row>
    <row r="70" spans="1:15" ht="20.25" x14ac:dyDescent="0.25">
      <c r="A70" s="42" t="s">
        <v>136</v>
      </c>
      <c r="B70" s="40" t="s">
        <v>100</v>
      </c>
      <c r="C70" s="174" t="s">
        <v>49</v>
      </c>
      <c r="D70" s="67">
        <v>34099</v>
      </c>
      <c r="E70" s="174" t="s">
        <v>137</v>
      </c>
      <c r="F70" s="13">
        <f>SUM(G70:O70)</f>
        <v>0</v>
      </c>
      <c r="G70" s="13"/>
      <c r="H70" s="13"/>
      <c r="I70" s="13"/>
      <c r="J70" s="13"/>
      <c r="K70" s="13"/>
      <c r="L70" s="13"/>
      <c r="M70" s="13"/>
      <c r="N70" s="13"/>
      <c r="O70" s="13"/>
    </row>
    <row r="71" spans="1:15" ht="30.75" x14ac:dyDescent="0.25">
      <c r="A71" s="42" t="s">
        <v>138</v>
      </c>
      <c r="B71" s="40" t="s">
        <v>100</v>
      </c>
      <c r="C71" s="174" t="s">
        <v>49</v>
      </c>
      <c r="D71" s="67">
        <v>34099</v>
      </c>
      <c r="E71" s="174" t="s">
        <v>86</v>
      </c>
      <c r="F71" s="13">
        <f>SUM(G71:O71)</f>
        <v>0</v>
      </c>
      <c r="G71" s="13"/>
      <c r="H71" s="13"/>
      <c r="I71" s="13"/>
      <c r="J71" s="13"/>
      <c r="K71" s="13"/>
      <c r="L71" s="13"/>
      <c r="M71" s="13"/>
      <c r="N71" s="13"/>
      <c r="O71" s="13"/>
    </row>
    <row r="72" spans="1:15" ht="31.5" thickBot="1" x14ac:dyDescent="0.3">
      <c r="A72" s="60" t="s">
        <v>88</v>
      </c>
      <c r="B72" s="61" t="s">
        <v>100</v>
      </c>
      <c r="C72" s="126" t="s">
        <v>49</v>
      </c>
      <c r="D72" s="62">
        <v>34099</v>
      </c>
      <c r="E72" s="126" t="s">
        <v>87</v>
      </c>
      <c r="F72" s="15">
        <f>SUM(G72:O72)</f>
        <v>0</v>
      </c>
      <c r="G72" s="15"/>
      <c r="H72" s="15"/>
      <c r="I72" s="15"/>
      <c r="J72" s="15"/>
      <c r="K72" s="15"/>
      <c r="L72" s="15"/>
      <c r="M72" s="15"/>
      <c r="N72" s="15"/>
      <c r="O72" s="15"/>
    </row>
    <row r="73" spans="1:15" ht="23.25" thickBot="1" x14ac:dyDescent="0.35">
      <c r="A73" s="944" t="s">
        <v>498</v>
      </c>
      <c r="B73" s="945"/>
      <c r="C73" s="945"/>
      <c r="D73" s="945"/>
      <c r="E73" s="946"/>
      <c r="F73" s="172">
        <f>F21+F22+F23+F27+F35+F38+F39+F42+F57</f>
        <v>1955438</v>
      </c>
      <c r="G73" s="4"/>
      <c r="H73" s="4"/>
      <c r="I73" s="4"/>
      <c r="J73" s="4"/>
      <c r="K73" s="4"/>
      <c r="L73" s="4"/>
      <c r="M73" s="4"/>
      <c r="N73" s="4"/>
      <c r="O73" s="4"/>
    </row>
    <row r="74" spans="1:15" ht="15" x14ac:dyDescent="0.2">
      <c r="A74" s="5"/>
      <c r="B74" s="7"/>
      <c r="C74" s="7"/>
      <c r="D74" s="3"/>
      <c r="E74" s="3"/>
      <c r="F74" s="4"/>
      <c r="G74" s="4"/>
      <c r="H74" s="4"/>
      <c r="I74" s="4"/>
      <c r="J74" s="4"/>
      <c r="K74" s="4"/>
      <c r="L74" s="4"/>
      <c r="M74" s="4"/>
      <c r="N74" s="4"/>
      <c r="O74" s="4"/>
    </row>
    <row r="75" spans="1:15" s="12" customFormat="1" ht="18" x14ac:dyDescent="0.25">
      <c r="A75" s="21"/>
      <c r="B75" s="11"/>
      <c r="C75" s="10"/>
      <c r="D75" s="11"/>
      <c r="E75" s="11"/>
    </row>
    <row r="81" spans="14:14" x14ac:dyDescent="0.2">
      <c r="N81" t="s">
        <v>544</v>
      </c>
    </row>
  </sheetData>
  <mergeCells count="52">
    <mergeCell ref="I65:J65"/>
    <mergeCell ref="A73:E73"/>
    <mergeCell ref="A58:C58"/>
    <mergeCell ref="D58:E58"/>
    <mergeCell ref="A63:C63"/>
    <mergeCell ref="D63:E63"/>
    <mergeCell ref="A69:C69"/>
    <mergeCell ref="D69:E69"/>
    <mergeCell ref="A49:C49"/>
    <mergeCell ref="D49:E49"/>
    <mergeCell ref="C50:C51"/>
    <mergeCell ref="E50:E51"/>
    <mergeCell ref="A57:C57"/>
    <mergeCell ref="D57:E57"/>
    <mergeCell ref="A34:C34"/>
    <mergeCell ref="D34:E34"/>
    <mergeCell ref="A43:C43"/>
    <mergeCell ref="D43:E43"/>
    <mergeCell ref="A45:C45"/>
    <mergeCell ref="D45:E45"/>
    <mergeCell ref="A20:C20"/>
    <mergeCell ref="D20:E20"/>
    <mergeCell ref="A23:C23"/>
    <mergeCell ref="D23:E23"/>
    <mergeCell ref="A27:C27"/>
    <mergeCell ref="D27:E27"/>
    <mergeCell ref="A18:C18"/>
    <mergeCell ref="D18:E18"/>
    <mergeCell ref="G8:G11"/>
    <mergeCell ref="H8:H11"/>
    <mergeCell ref="I8:I11"/>
    <mergeCell ref="A12:F12"/>
    <mergeCell ref="A13:E13"/>
    <mergeCell ref="A14:C14"/>
    <mergeCell ref="D14:E14"/>
    <mergeCell ref="I12:K12"/>
    <mergeCell ref="A1:B1"/>
    <mergeCell ref="D1:E1"/>
    <mergeCell ref="A2:O3"/>
    <mergeCell ref="A5:O6"/>
    <mergeCell ref="A8:A11"/>
    <mergeCell ref="B8:B11"/>
    <mergeCell ref="C8:C11"/>
    <mergeCell ref="D8:D11"/>
    <mergeCell ref="E8:E11"/>
    <mergeCell ref="F8:F11"/>
    <mergeCell ref="O8:O11"/>
    <mergeCell ref="J8:J11"/>
    <mergeCell ref="K8:K11"/>
    <mergeCell ref="N8:N11"/>
    <mergeCell ref="L8:L11"/>
    <mergeCell ref="M8:M11"/>
  </mergeCells>
  <pageMargins left="0.70866141732283472" right="0.70866141732283472" top="0.74803149606299213" bottom="0.74803149606299213" header="0.31496062992125984" footer="0.31496062992125984"/>
  <pageSetup paperSize="9"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60" zoomScaleNormal="66" workbookViewId="0">
      <selection activeCell="L7" sqref="L1:Q1048576"/>
    </sheetView>
  </sheetViews>
  <sheetFormatPr defaultRowHeight="12.75" x14ac:dyDescent="0.2"/>
  <cols>
    <col min="1" max="1" width="42.7109375" customWidth="1"/>
    <col min="2" max="2" width="9.7109375" customWidth="1"/>
    <col min="3" max="3" width="10.7109375" customWidth="1"/>
    <col min="4" max="4" width="9.5703125" customWidth="1"/>
    <col min="5" max="5" width="21.7109375" customWidth="1"/>
    <col min="6" max="6" width="18.7109375" hidden="1" customWidth="1"/>
    <col min="7" max="7" width="24.140625" customWidth="1"/>
    <col min="8" max="9" width="18.7109375" customWidth="1"/>
    <col min="10" max="10" width="20" customWidth="1"/>
    <col min="11" max="11" width="18.5703125" customWidth="1"/>
    <col min="12" max="12" width="20.42578125" hidden="1" customWidth="1"/>
    <col min="13" max="13" width="19.7109375" hidden="1" customWidth="1"/>
    <col min="14" max="14" width="22" hidden="1" customWidth="1"/>
    <col min="15" max="15" width="20.5703125" hidden="1" customWidth="1"/>
    <col min="16" max="16" width="21.42578125" hidden="1" customWidth="1"/>
    <col min="17" max="17" width="20.7109375" hidden="1" customWidth="1"/>
    <col min="18" max="18" width="21.7109375" customWidth="1"/>
  </cols>
  <sheetData>
    <row r="1" spans="1:18" s="2" customFormat="1" ht="18" x14ac:dyDescent="0.2">
      <c r="A1" s="102"/>
      <c r="B1" s="102"/>
      <c r="C1" s="841"/>
      <c r="D1" s="841"/>
      <c r="E1" s="8"/>
      <c r="F1" s="8"/>
      <c r="G1" s="8"/>
      <c r="H1" s="8"/>
      <c r="I1" s="8"/>
      <c r="J1" s="8"/>
      <c r="K1" s="8"/>
      <c r="L1" s="8"/>
      <c r="M1" s="8"/>
      <c r="N1" s="8"/>
      <c r="O1" s="8"/>
      <c r="P1" s="8"/>
      <c r="Q1" s="8"/>
      <c r="R1" s="8"/>
    </row>
    <row r="2" spans="1:18" s="2" customFormat="1" ht="21" customHeight="1" x14ac:dyDescent="0.2">
      <c r="A2" s="846" t="s">
        <v>722</v>
      </c>
      <c r="B2" s="846"/>
      <c r="C2" s="846"/>
      <c r="D2" s="846"/>
      <c r="E2" s="846"/>
      <c r="F2" s="846"/>
      <c r="G2" s="846"/>
      <c r="H2" s="846"/>
      <c r="I2" s="846"/>
      <c r="J2" s="846"/>
      <c r="K2" s="846"/>
      <c r="L2" s="846"/>
      <c r="M2" s="846"/>
      <c r="N2" s="846"/>
      <c r="O2" s="846"/>
      <c r="P2" s="846"/>
      <c r="Q2" s="846"/>
      <c r="R2" s="846"/>
    </row>
    <row r="3" spans="1:18" s="2" customFormat="1" ht="18" customHeight="1" x14ac:dyDescent="0.2">
      <c r="A3" s="846"/>
      <c r="B3" s="846"/>
      <c r="C3" s="846"/>
      <c r="D3" s="846"/>
      <c r="E3" s="846"/>
      <c r="F3" s="846"/>
      <c r="G3" s="846"/>
      <c r="H3" s="846"/>
      <c r="I3" s="846"/>
      <c r="J3" s="846"/>
      <c r="K3" s="846"/>
      <c r="L3" s="846"/>
      <c r="M3" s="846"/>
      <c r="N3" s="846"/>
      <c r="O3" s="846"/>
      <c r="P3" s="846"/>
      <c r="Q3" s="846"/>
      <c r="R3" s="846"/>
    </row>
    <row r="4" spans="1:18" s="2" customFormat="1" ht="9.75" customHeight="1" x14ac:dyDescent="0.4">
      <c r="A4" s="28"/>
      <c r="B4" s="28"/>
      <c r="C4" s="28"/>
      <c r="D4" s="28"/>
      <c r="E4" s="28"/>
      <c r="F4" s="28"/>
      <c r="G4" s="28"/>
      <c r="H4" s="28"/>
      <c r="I4" s="28"/>
      <c r="J4" s="28"/>
      <c r="K4" s="28"/>
      <c r="L4" s="28"/>
      <c r="M4" s="28"/>
      <c r="N4" s="28"/>
      <c r="O4" s="28"/>
      <c r="P4" s="28"/>
      <c r="Q4" s="28"/>
      <c r="R4" s="28"/>
    </row>
    <row r="5" spans="1:18" s="2" customFormat="1" ht="15.75" customHeight="1" x14ac:dyDescent="0.2">
      <c r="A5" s="847" t="s">
        <v>569</v>
      </c>
      <c r="B5" s="847"/>
      <c r="C5" s="847"/>
      <c r="D5" s="847"/>
      <c r="E5" s="847"/>
      <c r="F5" s="847"/>
      <c r="G5" s="847"/>
      <c r="H5" s="847"/>
      <c r="I5" s="847"/>
      <c r="J5" s="847"/>
      <c r="K5" s="847"/>
      <c r="L5" s="847"/>
      <c r="M5" s="847"/>
      <c r="N5" s="847"/>
      <c r="O5" s="847"/>
      <c r="P5" s="847"/>
      <c r="Q5" s="847"/>
      <c r="R5" s="847"/>
    </row>
    <row r="6" spans="1:18" s="2" customFormat="1" ht="40.5" customHeight="1" x14ac:dyDescent="0.2">
      <c r="A6" s="847"/>
      <c r="B6" s="847"/>
      <c r="C6" s="847"/>
      <c r="D6" s="847"/>
      <c r="E6" s="847"/>
      <c r="F6" s="847"/>
      <c r="G6" s="847"/>
      <c r="H6" s="847"/>
      <c r="I6" s="847"/>
      <c r="J6" s="847"/>
      <c r="K6" s="847"/>
      <c r="L6" s="847"/>
      <c r="M6" s="847"/>
      <c r="N6" s="847"/>
      <c r="O6" s="847"/>
      <c r="P6" s="847"/>
      <c r="Q6" s="847"/>
      <c r="R6" s="847"/>
    </row>
    <row r="7" spans="1:18" ht="29.25" customHeight="1" thickBot="1" x14ac:dyDescent="0.45">
      <c r="A7" s="25" t="s">
        <v>32</v>
      </c>
      <c r="B7" s="22"/>
      <c r="C7" s="23"/>
      <c r="D7" s="23"/>
      <c r="E7" s="24"/>
      <c r="F7" s="24"/>
      <c r="G7" s="24"/>
      <c r="H7" s="24"/>
      <c r="I7" s="24"/>
      <c r="J7" s="24"/>
      <c r="K7" s="24"/>
      <c r="L7" s="23"/>
      <c r="M7" s="23"/>
      <c r="N7" s="23"/>
      <c r="O7" s="23"/>
      <c r="P7" s="23"/>
      <c r="Q7" s="23"/>
      <c r="R7" s="23"/>
    </row>
    <row r="8" spans="1:18" ht="75" customHeight="1" x14ac:dyDescent="0.2">
      <c r="A8" s="998" t="s">
        <v>10</v>
      </c>
      <c r="B8" s="1000" t="s">
        <v>89</v>
      </c>
      <c r="C8" s="1002" t="s">
        <v>11</v>
      </c>
      <c r="D8" s="1002" t="s">
        <v>62</v>
      </c>
      <c r="E8" s="1005" t="s">
        <v>161</v>
      </c>
      <c r="F8" s="1000" t="s">
        <v>164</v>
      </c>
      <c r="G8" s="1000" t="s">
        <v>165</v>
      </c>
      <c r="H8" s="1022" t="s">
        <v>166</v>
      </c>
      <c r="I8" s="1023"/>
      <c r="J8" s="1000" t="s">
        <v>488</v>
      </c>
      <c r="K8" s="1002" t="s">
        <v>723</v>
      </c>
      <c r="L8" s="1002"/>
      <c r="M8" s="1002"/>
      <c r="N8" s="1002"/>
      <c r="O8" s="1002"/>
      <c r="P8" s="1002"/>
      <c r="Q8" s="1002"/>
      <c r="R8" s="1008"/>
    </row>
    <row r="9" spans="1:18" ht="51.75" customHeight="1" x14ac:dyDescent="0.2">
      <c r="A9" s="999"/>
      <c r="B9" s="1001"/>
      <c r="C9" s="1003"/>
      <c r="D9" s="1003"/>
      <c r="E9" s="1006"/>
      <c r="F9" s="1001"/>
      <c r="G9" s="1001"/>
      <c r="H9" s="1024"/>
      <c r="I9" s="1025"/>
      <c r="J9" s="1001"/>
      <c r="K9" s="1001" t="s">
        <v>65</v>
      </c>
      <c r="L9" s="1001" t="s">
        <v>81</v>
      </c>
      <c r="M9" s="1001" t="s">
        <v>76</v>
      </c>
      <c r="N9" s="1001" t="s">
        <v>154</v>
      </c>
      <c r="O9" s="1001" t="s">
        <v>66</v>
      </c>
      <c r="P9" s="1001" t="s">
        <v>67</v>
      </c>
      <c r="Q9" s="1001" t="s">
        <v>68</v>
      </c>
      <c r="R9" s="1004" t="s">
        <v>724</v>
      </c>
    </row>
    <row r="10" spans="1:18" ht="34.5" customHeight="1" x14ac:dyDescent="0.2">
      <c r="A10" s="999"/>
      <c r="B10" s="1001"/>
      <c r="C10" s="1003"/>
      <c r="D10" s="1003"/>
      <c r="E10" s="1006"/>
      <c r="F10" s="1001"/>
      <c r="G10" s="1001"/>
      <c r="H10" s="1024"/>
      <c r="I10" s="1025"/>
      <c r="J10" s="1001"/>
      <c r="K10" s="1001"/>
      <c r="L10" s="1001"/>
      <c r="M10" s="1001"/>
      <c r="N10" s="1001"/>
      <c r="O10" s="1001"/>
      <c r="P10" s="1001"/>
      <c r="Q10" s="1001"/>
      <c r="R10" s="1004"/>
    </row>
    <row r="11" spans="1:18" ht="141" customHeight="1" x14ac:dyDescent="0.2">
      <c r="A11" s="999"/>
      <c r="B11" s="1001"/>
      <c r="C11" s="1003"/>
      <c r="D11" s="1003"/>
      <c r="E11" s="1006"/>
      <c r="F11" s="1001"/>
      <c r="G11" s="1001"/>
      <c r="H11" s="1026"/>
      <c r="I11" s="1027"/>
      <c r="J11" s="1001"/>
      <c r="K11" s="1001"/>
      <c r="L11" s="1001"/>
      <c r="M11" s="1001"/>
      <c r="N11" s="1001"/>
      <c r="O11" s="1001"/>
      <c r="P11" s="1001"/>
      <c r="Q11" s="1001"/>
      <c r="R11" s="1004"/>
    </row>
    <row r="12" spans="1:18" s="9" customFormat="1" ht="66.75" customHeight="1" x14ac:dyDescent="0.35">
      <c r="A12" s="1015" t="s">
        <v>38</v>
      </c>
      <c r="B12" s="1003"/>
      <c r="C12" s="1003"/>
      <c r="D12" s="1003"/>
      <c r="E12" s="1006"/>
      <c r="F12" s="69" t="s">
        <v>546</v>
      </c>
      <c r="G12" s="69" t="s">
        <v>149</v>
      </c>
      <c r="H12" s="69" t="s">
        <v>548</v>
      </c>
      <c r="I12" s="69" t="s">
        <v>623</v>
      </c>
      <c r="J12" s="69" t="s">
        <v>148</v>
      </c>
      <c r="K12" s="69" t="s">
        <v>163</v>
      </c>
      <c r="L12" s="69" t="s">
        <v>151</v>
      </c>
      <c r="M12" s="69" t="s">
        <v>153</v>
      </c>
      <c r="N12" s="69" t="s">
        <v>159</v>
      </c>
      <c r="O12" s="69" t="s">
        <v>150</v>
      </c>
      <c r="P12" s="69" t="s">
        <v>156</v>
      </c>
      <c r="Q12" s="69" t="s">
        <v>157</v>
      </c>
      <c r="R12" s="70" t="s">
        <v>158</v>
      </c>
    </row>
    <row r="13" spans="1:18" s="9" customFormat="1" ht="30" customHeight="1" thickBot="1" x14ac:dyDescent="0.4">
      <c r="A13" s="1016" t="s">
        <v>35</v>
      </c>
      <c r="B13" s="1017"/>
      <c r="C13" s="1017"/>
      <c r="D13" s="1017"/>
      <c r="E13" s="1007"/>
      <c r="F13" s="73" t="s">
        <v>545</v>
      </c>
      <c r="G13" s="73" t="s">
        <v>44</v>
      </c>
      <c r="H13" s="73" t="s">
        <v>547</v>
      </c>
      <c r="I13" s="315" t="s">
        <v>622</v>
      </c>
      <c r="J13" s="73" t="s">
        <v>43</v>
      </c>
      <c r="K13" s="71" t="s">
        <v>39</v>
      </c>
      <c r="L13" s="71" t="s">
        <v>152</v>
      </c>
      <c r="M13" s="71" t="s">
        <v>79</v>
      </c>
      <c r="N13" s="71" t="s">
        <v>155</v>
      </c>
      <c r="O13" s="71" t="s">
        <v>40</v>
      </c>
      <c r="P13" s="71" t="s">
        <v>41</v>
      </c>
      <c r="Q13" s="71" t="s">
        <v>42</v>
      </c>
      <c r="R13" s="72" t="s">
        <v>64</v>
      </c>
    </row>
    <row r="14" spans="1:18" s="9" customFormat="1" ht="30" customHeight="1" thickBot="1" x14ac:dyDescent="0.4">
      <c r="A14" s="1013" t="s">
        <v>162</v>
      </c>
      <c r="B14" s="1014"/>
      <c r="C14" s="1014"/>
      <c r="D14" s="1014"/>
      <c r="E14" s="80">
        <f>SUM(F14:R14)</f>
        <v>3922560</v>
      </c>
      <c r="F14" s="80">
        <f>F18+F20+F24+F26+F15</f>
        <v>0</v>
      </c>
      <c r="G14" s="80">
        <f t="shared" ref="G14:R14" si="0">G18+G20+G24+G26+G15</f>
        <v>1100</v>
      </c>
      <c r="H14" s="80">
        <f t="shared" si="0"/>
        <v>28400</v>
      </c>
      <c r="I14" s="80">
        <f t="shared" ref="I14" si="1">I18+I20+I24+I26+I15</f>
        <v>30000</v>
      </c>
      <c r="J14" s="80">
        <f t="shared" si="0"/>
        <v>200000</v>
      </c>
      <c r="K14" s="80">
        <f t="shared" si="0"/>
        <v>3000000</v>
      </c>
      <c r="L14" s="80">
        <f t="shared" si="0"/>
        <v>0</v>
      </c>
      <c r="M14" s="80">
        <f t="shared" si="0"/>
        <v>0</v>
      </c>
      <c r="N14" s="80">
        <f t="shared" si="0"/>
        <v>0</v>
      </c>
      <c r="O14" s="80">
        <f t="shared" si="0"/>
        <v>0</v>
      </c>
      <c r="P14" s="80">
        <f t="shared" si="0"/>
        <v>0</v>
      </c>
      <c r="Q14" s="80">
        <f t="shared" si="0"/>
        <v>0</v>
      </c>
      <c r="R14" s="80">
        <f t="shared" si="0"/>
        <v>663060</v>
      </c>
    </row>
    <row r="15" spans="1:18" ht="61.5" customHeight="1" x14ac:dyDescent="0.3">
      <c r="A15" s="159" t="s">
        <v>94</v>
      </c>
      <c r="B15" s="159"/>
      <c r="C15" s="1009">
        <v>210</v>
      </c>
      <c r="D15" s="1009"/>
      <c r="E15" s="76">
        <f>SUM(E16:E17)</f>
        <v>28400</v>
      </c>
      <c r="F15" s="76">
        <f t="shared" ref="F15:R15" si="2">SUM(F16:F17)</f>
        <v>0</v>
      </c>
      <c r="G15" s="76">
        <f t="shared" si="2"/>
        <v>0</v>
      </c>
      <c r="H15" s="76">
        <f t="shared" si="2"/>
        <v>28400</v>
      </c>
      <c r="I15" s="76">
        <f t="shared" ref="I15" si="3">SUM(I16:I17)</f>
        <v>0</v>
      </c>
      <c r="J15" s="76">
        <f t="shared" si="2"/>
        <v>0</v>
      </c>
      <c r="K15" s="76">
        <f t="shared" si="2"/>
        <v>0</v>
      </c>
      <c r="L15" s="76">
        <f t="shared" si="2"/>
        <v>0</v>
      </c>
      <c r="M15" s="76">
        <f t="shared" si="2"/>
        <v>0</v>
      </c>
      <c r="N15" s="76">
        <f t="shared" si="2"/>
        <v>0</v>
      </c>
      <c r="O15" s="76">
        <f t="shared" si="2"/>
        <v>0</v>
      </c>
      <c r="P15" s="76">
        <f t="shared" si="2"/>
        <v>0</v>
      </c>
      <c r="Q15" s="76">
        <f t="shared" si="2"/>
        <v>0</v>
      </c>
      <c r="R15" s="76">
        <f t="shared" si="2"/>
        <v>0</v>
      </c>
    </row>
    <row r="16" spans="1:18" ht="48.75" customHeight="1" x14ac:dyDescent="0.25">
      <c r="A16" s="158" t="s">
        <v>16</v>
      </c>
      <c r="B16" s="187" t="s">
        <v>47</v>
      </c>
      <c r="C16" s="67">
        <v>21101</v>
      </c>
      <c r="D16" s="187" t="s">
        <v>90</v>
      </c>
      <c r="E16" s="13">
        <f t="shared" ref="E16:E17" si="4">SUM(F16:R16)</f>
        <v>21812.59</v>
      </c>
      <c r="F16" s="13"/>
      <c r="G16" s="13"/>
      <c r="H16" s="13">
        <f>21812.59</f>
        <v>21812.59</v>
      </c>
      <c r="I16" s="13"/>
      <c r="J16" s="13"/>
      <c r="K16" s="13"/>
      <c r="L16" s="13"/>
      <c r="M16" s="13"/>
      <c r="N16" s="13"/>
      <c r="O16" s="13"/>
      <c r="P16" s="13"/>
      <c r="Q16" s="13"/>
      <c r="R16" s="18"/>
    </row>
    <row r="17" spans="1:18" ht="46.5" customHeight="1" x14ac:dyDescent="0.25">
      <c r="A17" s="157" t="s">
        <v>17</v>
      </c>
      <c r="B17" s="187" t="s">
        <v>48</v>
      </c>
      <c r="C17" s="67">
        <v>21300</v>
      </c>
      <c r="D17" s="187" t="s">
        <v>18</v>
      </c>
      <c r="E17" s="13">
        <f t="shared" si="4"/>
        <v>6587.41</v>
      </c>
      <c r="F17" s="13"/>
      <c r="G17" s="13"/>
      <c r="H17" s="13">
        <f>6587.41</f>
        <v>6587.41</v>
      </c>
      <c r="I17" s="13"/>
      <c r="J17" s="13"/>
      <c r="K17" s="13"/>
      <c r="L17" s="13"/>
      <c r="M17" s="13"/>
      <c r="N17" s="13"/>
      <c r="O17" s="13"/>
      <c r="P17" s="13"/>
      <c r="Q17" s="13"/>
      <c r="R17" s="18"/>
    </row>
    <row r="18" spans="1:18" ht="29.25" customHeight="1" x14ac:dyDescent="0.3">
      <c r="A18" s="1036" t="s">
        <v>12</v>
      </c>
      <c r="B18" s="1037"/>
      <c r="C18" s="1038">
        <v>214</v>
      </c>
      <c r="D18" s="1038"/>
      <c r="E18" s="74">
        <f>E19</f>
        <v>663060</v>
      </c>
      <c r="F18" s="74">
        <f t="shared" ref="F18:R18" si="5">F19</f>
        <v>0</v>
      </c>
      <c r="G18" s="74">
        <f t="shared" si="5"/>
        <v>0</v>
      </c>
      <c r="H18" s="74">
        <f t="shared" si="5"/>
        <v>0</v>
      </c>
      <c r="I18" s="74">
        <f t="shared" si="5"/>
        <v>0</v>
      </c>
      <c r="J18" s="74">
        <f t="shared" si="5"/>
        <v>0</v>
      </c>
      <c r="K18" s="74">
        <f t="shared" si="5"/>
        <v>0</v>
      </c>
      <c r="L18" s="74">
        <f t="shared" si="5"/>
        <v>0</v>
      </c>
      <c r="M18" s="74">
        <f t="shared" si="5"/>
        <v>0</v>
      </c>
      <c r="N18" s="74">
        <f t="shared" si="5"/>
        <v>0</v>
      </c>
      <c r="O18" s="74">
        <f t="shared" si="5"/>
        <v>0</v>
      </c>
      <c r="P18" s="74">
        <f t="shared" si="5"/>
        <v>0</v>
      </c>
      <c r="Q18" s="74">
        <f t="shared" si="5"/>
        <v>0</v>
      </c>
      <c r="R18" s="75">
        <f t="shared" si="5"/>
        <v>663060</v>
      </c>
    </row>
    <row r="19" spans="1:18" ht="34.5" customHeight="1" x14ac:dyDescent="0.3">
      <c r="A19" s="68" t="s">
        <v>160</v>
      </c>
      <c r="B19" s="38">
        <v>112</v>
      </c>
      <c r="C19" s="41">
        <v>21400</v>
      </c>
      <c r="D19" s="125" t="s">
        <v>491</v>
      </c>
      <c r="E19" s="13">
        <f>SUM(F19:R19)</f>
        <v>663060</v>
      </c>
      <c r="F19" s="13"/>
      <c r="G19" s="13"/>
      <c r="H19" s="13"/>
      <c r="I19" s="13"/>
      <c r="J19" s="13"/>
      <c r="K19" s="13"/>
      <c r="L19" s="13"/>
      <c r="M19" s="13"/>
      <c r="N19" s="13"/>
      <c r="O19" s="13"/>
      <c r="P19" s="14"/>
      <c r="Q19" s="14"/>
      <c r="R19" s="18">
        <f>663060</f>
        <v>663060</v>
      </c>
    </row>
    <row r="20" spans="1:18" ht="36" customHeight="1" x14ac:dyDescent="0.3">
      <c r="A20" s="995" t="s">
        <v>103</v>
      </c>
      <c r="B20" s="996"/>
      <c r="C20" s="1010">
        <v>225</v>
      </c>
      <c r="D20" s="1010"/>
      <c r="E20" s="76">
        <f>SUM(E21:E23)</f>
        <v>3200000</v>
      </c>
      <c r="F20" s="76">
        <f>SUM(F21:F23)</f>
        <v>0</v>
      </c>
      <c r="G20" s="76">
        <f>SUM(G21:G23)</f>
        <v>0</v>
      </c>
      <c r="H20" s="76">
        <f t="shared" ref="H20:J20" si="6">SUM(H21:H23)</f>
        <v>0</v>
      </c>
      <c r="I20" s="76">
        <f t="shared" ref="I20" si="7">SUM(I21:I23)</f>
        <v>0</v>
      </c>
      <c r="J20" s="76">
        <f t="shared" si="6"/>
        <v>200000</v>
      </c>
      <c r="K20" s="76">
        <f>SUM(K21:K23)</f>
        <v>3000000</v>
      </c>
      <c r="L20" s="76">
        <f>SUM(L21:L23)</f>
        <v>0</v>
      </c>
      <c r="M20" s="76">
        <f t="shared" ref="M20:R20" si="8">SUM(M21:M23)</f>
        <v>0</v>
      </c>
      <c r="N20" s="76">
        <f t="shared" si="8"/>
        <v>0</v>
      </c>
      <c r="O20" s="76">
        <f t="shared" si="8"/>
        <v>0</v>
      </c>
      <c r="P20" s="76">
        <f t="shared" si="8"/>
        <v>0</v>
      </c>
      <c r="Q20" s="76">
        <f t="shared" si="8"/>
        <v>0</v>
      </c>
      <c r="R20" s="77">
        <f t="shared" si="8"/>
        <v>0</v>
      </c>
    </row>
    <row r="21" spans="1:18" ht="25.5" customHeight="1" x14ac:dyDescent="0.25">
      <c r="A21" s="42" t="s">
        <v>55</v>
      </c>
      <c r="B21" s="125" t="s">
        <v>63</v>
      </c>
      <c r="C21" s="67">
        <v>22505</v>
      </c>
      <c r="D21" s="125" t="s">
        <v>104</v>
      </c>
      <c r="E21" s="13">
        <f t="shared" ref="E21:E23" si="9">SUM(F21:R21)</f>
        <v>0</v>
      </c>
      <c r="F21" s="13"/>
      <c r="G21" s="13"/>
      <c r="H21" s="13"/>
      <c r="I21" s="13"/>
      <c r="J21" s="13"/>
      <c r="K21" s="13"/>
      <c r="L21" s="13"/>
      <c r="M21" s="13"/>
      <c r="N21" s="13"/>
      <c r="O21" s="13"/>
      <c r="P21" s="13"/>
      <c r="Q21" s="13"/>
      <c r="R21" s="18"/>
    </row>
    <row r="22" spans="1:18" ht="25.5" customHeight="1" x14ac:dyDescent="0.25">
      <c r="A22" s="42" t="s">
        <v>55</v>
      </c>
      <c r="B22" s="125" t="s">
        <v>49</v>
      </c>
      <c r="C22" s="67">
        <v>22505</v>
      </c>
      <c r="D22" s="125" t="s">
        <v>104</v>
      </c>
      <c r="E22" s="13">
        <f t="shared" si="9"/>
        <v>3200000</v>
      </c>
      <c r="F22" s="13"/>
      <c r="G22" s="13"/>
      <c r="H22" s="13"/>
      <c r="I22" s="13"/>
      <c r="J22" s="13">
        <f>200000</f>
        <v>200000</v>
      </c>
      <c r="K22" s="13">
        <f>3000000</f>
        <v>3000000</v>
      </c>
      <c r="L22" s="13"/>
      <c r="M22" s="13"/>
      <c r="N22" s="13"/>
      <c r="O22" s="13"/>
      <c r="P22" s="13"/>
      <c r="Q22" s="13"/>
      <c r="R22" s="18"/>
    </row>
    <row r="23" spans="1:18" ht="34.5" customHeight="1" x14ac:dyDescent="0.25">
      <c r="A23" s="42" t="s">
        <v>22</v>
      </c>
      <c r="B23" s="125" t="s">
        <v>49</v>
      </c>
      <c r="C23" s="67">
        <v>22599</v>
      </c>
      <c r="D23" s="125" t="s">
        <v>104</v>
      </c>
      <c r="E23" s="13">
        <f t="shared" si="9"/>
        <v>0</v>
      </c>
      <c r="F23" s="13"/>
      <c r="G23" s="13"/>
      <c r="H23" s="13"/>
      <c r="I23" s="13"/>
      <c r="J23" s="13"/>
      <c r="K23" s="13"/>
      <c r="L23" s="13"/>
      <c r="M23" s="13"/>
      <c r="N23" s="13"/>
      <c r="O23" s="13"/>
      <c r="P23" s="13"/>
      <c r="Q23" s="13"/>
      <c r="R23" s="18"/>
    </row>
    <row r="24" spans="1:18" ht="28.5" customHeight="1" x14ac:dyDescent="0.3">
      <c r="A24" s="995" t="s">
        <v>109</v>
      </c>
      <c r="B24" s="996"/>
      <c r="C24" s="1010">
        <v>226</v>
      </c>
      <c r="D24" s="1010"/>
      <c r="E24" s="78">
        <f>SUM(K24:Q24)</f>
        <v>0</v>
      </c>
      <c r="F24" s="78">
        <f>SUM(K24:Q24)</f>
        <v>0</v>
      </c>
      <c r="G24" s="78">
        <f>SUM(L24:R24)</f>
        <v>0</v>
      </c>
      <c r="H24" s="78">
        <f>SUM(M24:S24)</f>
        <v>0</v>
      </c>
      <c r="I24" s="78">
        <f>SUM(N24:T24)</f>
        <v>0</v>
      </c>
      <c r="J24" s="78">
        <f t="shared" ref="J24" si="10">SUM(N24:T24)</f>
        <v>0</v>
      </c>
      <c r="K24" s="78">
        <f>SUM(L24:R24)</f>
        <v>0</v>
      </c>
      <c r="L24" s="78">
        <f t="shared" ref="L24:R24" si="11">SUM(L25:L25)</f>
        <v>0</v>
      </c>
      <c r="M24" s="78">
        <f t="shared" si="11"/>
        <v>0</v>
      </c>
      <c r="N24" s="78">
        <f t="shared" si="11"/>
        <v>0</v>
      </c>
      <c r="O24" s="78">
        <f t="shared" si="11"/>
        <v>0</v>
      </c>
      <c r="P24" s="78">
        <f t="shared" si="11"/>
        <v>0</v>
      </c>
      <c r="Q24" s="78">
        <f t="shared" si="11"/>
        <v>0</v>
      </c>
      <c r="R24" s="79">
        <f t="shared" si="11"/>
        <v>0</v>
      </c>
    </row>
    <row r="25" spans="1:18" ht="32.25" customHeight="1" x14ac:dyDescent="0.25">
      <c r="A25" s="42" t="s">
        <v>25</v>
      </c>
      <c r="B25" s="125" t="s">
        <v>49</v>
      </c>
      <c r="C25" s="67">
        <v>22699</v>
      </c>
      <c r="D25" s="125" t="s">
        <v>110</v>
      </c>
      <c r="E25" s="13">
        <f>SUM(F25:R25)</f>
        <v>0</v>
      </c>
      <c r="F25" s="13"/>
      <c r="G25" s="13"/>
      <c r="H25" s="13"/>
      <c r="I25" s="13"/>
      <c r="J25" s="13"/>
      <c r="K25" s="13"/>
      <c r="L25" s="13"/>
      <c r="M25" s="13"/>
      <c r="N25" s="13"/>
      <c r="O25" s="13"/>
      <c r="P25" s="13"/>
      <c r="Q25" s="13"/>
      <c r="R25" s="18"/>
    </row>
    <row r="26" spans="1:18" ht="41.25" customHeight="1" x14ac:dyDescent="0.3">
      <c r="A26" s="995" t="s">
        <v>131</v>
      </c>
      <c r="B26" s="996"/>
      <c r="C26" s="997">
        <v>300</v>
      </c>
      <c r="D26" s="997"/>
      <c r="E26" s="78">
        <f>E27+E32</f>
        <v>31100</v>
      </c>
      <c r="F26" s="78">
        <f>F27+F32</f>
        <v>0</v>
      </c>
      <c r="G26" s="78">
        <f>G27+G32</f>
        <v>1100</v>
      </c>
      <c r="H26" s="78">
        <f t="shared" ref="H26:J26" si="12">H27+H32</f>
        <v>0</v>
      </c>
      <c r="I26" s="78">
        <f t="shared" ref="I26" si="13">I27+I32</f>
        <v>30000</v>
      </c>
      <c r="J26" s="78">
        <f t="shared" si="12"/>
        <v>0</v>
      </c>
      <c r="K26" s="78">
        <f>K27+K32</f>
        <v>0</v>
      </c>
      <c r="L26" s="78">
        <f>L27+L32</f>
        <v>0</v>
      </c>
      <c r="M26" s="78">
        <f t="shared" ref="M26:R26" si="14">M27+M32</f>
        <v>0</v>
      </c>
      <c r="N26" s="78">
        <f>N27+N32</f>
        <v>0</v>
      </c>
      <c r="O26" s="78">
        <f>O27+O32</f>
        <v>0</v>
      </c>
      <c r="P26" s="78">
        <f t="shared" si="14"/>
        <v>0</v>
      </c>
      <c r="Q26" s="78">
        <f t="shared" si="14"/>
        <v>0</v>
      </c>
      <c r="R26" s="79">
        <f t="shared" si="14"/>
        <v>0</v>
      </c>
    </row>
    <row r="27" spans="1:18" ht="35.25" customHeight="1" x14ac:dyDescent="0.3">
      <c r="A27" s="862" t="s">
        <v>13</v>
      </c>
      <c r="B27" s="863"/>
      <c r="C27" s="949">
        <v>310</v>
      </c>
      <c r="D27" s="949"/>
      <c r="E27" s="44">
        <f>SUM(F27:R27)</f>
        <v>0</v>
      </c>
      <c r="F27" s="44">
        <f>SUM(F28:F31)</f>
        <v>0</v>
      </c>
      <c r="G27" s="44">
        <f>SUM(G28:G31)</f>
        <v>0</v>
      </c>
      <c r="H27" s="44">
        <f t="shared" ref="H27:R27" si="15">SUM(H28:H31)</f>
        <v>0</v>
      </c>
      <c r="I27" s="44">
        <f t="shared" ref="I27" si="16">SUM(I28:I31)</f>
        <v>0</v>
      </c>
      <c r="J27" s="44">
        <f t="shared" si="15"/>
        <v>0</v>
      </c>
      <c r="K27" s="44">
        <f t="shared" si="15"/>
        <v>0</v>
      </c>
      <c r="L27" s="44">
        <f t="shared" si="15"/>
        <v>0</v>
      </c>
      <c r="M27" s="44">
        <f t="shared" si="15"/>
        <v>0</v>
      </c>
      <c r="N27" s="44">
        <f t="shared" si="15"/>
        <v>0</v>
      </c>
      <c r="O27" s="44">
        <f t="shared" si="15"/>
        <v>0</v>
      </c>
      <c r="P27" s="44">
        <f t="shared" si="15"/>
        <v>0</v>
      </c>
      <c r="Q27" s="44">
        <f t="shared" si="15"/>
        <v>0</v>
      </c>
      <c r="R27" s="50">
        <f t="shared" si="15"/>
        <v>0</v>
      </c>
    </row>
    <row r="28" spans="1:18" ht="27.75" customHeight="1" x14ac:dyDescent="0.25">
      <c r="A28" s="16" t="s">
        <v>132</v>
      </c>
      <c r="B28" s="125" t="s">
        <v>49</v>
      </c>
      <c r="C28" s="67">
        <v>31003</v>
      </c>
      <c r="D28" s="125" t="s">
        <v>61</v>
      </c>
      <c r="E28" s="13">
        <f t="shared" ref="E28:E31" si="17">SUM(F28:R28)</f>
        <v>0</v>
      </c>
      <c r="F28" s="13"/>
      <c r="G28" s="13"/>
      <c r="H28" s="13"/>
      <c r="I28" s="13"/>
      <c r="J28" s="13"/>
      <c r="K28" s="13"/>
      <c r="L28" s="13"/>
      <c r="M28" s="13"/>
      <c r="N28" s="13"/>
      <c r="O28" s="13"/>
      <c r="P28" s="13"/>
      <c r="Q28" s="13"/>
      <c r="R28" s="18"/>
    </row>
    <row r="29" spans="1:18" ht="25.5" customHeight="1" x14ac:dyDescent="0.25">
      <c r="A29" s="16" t="s">
        <v>6</v>
      </c>
      <c r="B29" s="125" t="s">
        <v>49</v>
      </c>
      <c r="C29" s="67">
        <v>31004</v>
      </c>
      <c r="D29" s="125" t="s">
        <v>61</v>
      </c>
      <c r="E29" s="13">
        <f t="shared" si="17"/>
        <v>0</v>
      </c>
      <c r="F29" s="13"/>
      <c r="G29" s="13"/>
      <c r="H29" s="13"/>
      <c r="I29" s="13"/>
      <c r="J29" s="13"/>
      <c r="K29" s="13"/>
      <c r="L29" s="13"/>
      <c r="M29" s="13"/>
      <c r="N29" s="13"/>
      <c r="O29" s="13"/>
      <c r="P29" s="13"/>
      <c r="Q29" s="13"/>
      <c r="R29" s="18"/>
    </row>
    <row r="30" spans="1:18" ht="28.5" customHeight="1" x14ac:dyDescent="0.25">
      <c r="A30" s="16" t="s">
        <v>7</v>
      </c>
      <c r="B30" s="125" t="s">
        <v>49</v>
      </c>
      <c r="C30" s="67">
        <v>31005</v>
      </c>
      <c r="D30" s="125" t="s">
        <v>61</v>
      </c>
      <c r="E30" s="13">
        <f t="shared" si="17"/>
        <v>0</v>
      </c>
      <c r="F30" s="13"/>
      <c r="G30" s="13"/>
      <c r="H30" s="13"/>
      <c r="I30" s="13"/>
      <c r="J30" s="13"/>
      <c r="K30" s="13"/>
      <c r="L30" s="13"/>
      <c r="M30" s="13"/>
      <c r="N30" s="13"/>
      <c r="O30" s="13"/>
      <c r="P30" s="13"/>
      <c r="Q30" s="13"/>
      <c r="R30" s="18"/>
    </row>
    <row r="31" spans="1:18" ht="36.75" customHeight="1" x14ac:dyDescent="0.25">
      <c r="A31" s="16" t="s">
        <v>8</v>
      </c>
      <c r="B31" s="125" t="s">
        <v>49</v>
      </c>
      <c r="C31" s="67">
        <v>31099</v>
      </c>
      <c r="D31" s="125" t="s">
        <v>61</v>
      </c>
      <c r="E31" s="13">
        <f t="shared" si="17"/>
        <v>0</v>
      </c>
      <c r="F31" s="13"/>
      <c r="G31" s="13"/>
      <c r="H31" s="13"/>
      <c r="I31" s="13"/>
      <c r="J31" s="13"/>
      <c r="K31" s="13"/>
      <c r="L31" s="13"/>
      <c r="M31" s="13"/>
      <c r="N31" s="13"/>
      <c r="O31" s="13"/>
      <c r="P31" s="13"/>
      <c r="Q31" s="13"/>
      <c r="R31" s="18"/>
    </row>
    <row r="32" spans="1:18" ht="39.75" customHeight="1" x14ac:dyDescent="0.3">
      <c r="A32" s="862" t="s">
        <v>14</v>
      </c>
      <c r="B32" s="863"/>
      <c r="C32" s="949">
        <v>340</v>
      </c>
      <c r="D32" s="949"/>
      <c r="E32" s="44">
        <f>SUM(F32:R32)</f>
        <v>31100</v>
      </c>
      <c r="F32" s="44">
        <f t="shared" ref="F32:R32" si="18">F33+F34</f>
        <v>0</v>
      </c>
      <c r="G32" s="44">
        <f>G33+G34</f>
        <v>1100</v>
      </c>
      <c r="H32" s="44">
        <f t="shared" si="18"/>
        <v>0</v>
      </c>
      <c r="I32" s="44">
        <f t="shared" ref="I32" si="19">I33+I34</f>
        <v>30000</v>
      </c>
      <c r="J32" s="44">
        <f t="shared" si="18"/>
        <v>0</v>
      </c>
      <c r="K32" s="44">
        <f t="shared" si="18"/>
        <v>0</v>
      </c>
      <c r="L32" s="44">
        <f t="shared" si="18"/>
        <v>0</v>
      </c>
      <c r="M32" s="44">
        <f t="shared" si="18"/>
        <v>0</v>
      </c>
      <c r="N32" s="44">
        <f t="shared" si="18"/>
        <v>0</v>
      </c>
      <c r="O32" s="44">
        <f t="shared" si="18"/>
        <v>0</v>
      </c>
      <c r="P32" s="44">
        <f t="shared" si="18"/>
        <v>0</v>
      </c>
      <c r="Q32" s="44">
        <f t="shared" si="18"/>
        <v>0</v>
      </c>
      <c r="R32" s="50">
        <f t="shared" si="18"/>
        <v>0</v>
      </c>
    </row>
    <row r="33" spans="1:18" ht="24" customHeight="1" x14ac:dyDescent="0.25">
      <c r="A33" s="42" t="s">
        <v>28</v>
      </c>
      <c r="B33" s="125" t="s">
        <v>49</v>
      </c>
      <c r="C33" s="67">
        <v>34004</v>
      </c>
      <c r="D33" s="125" t="s">
        <v>85</v>
      </c>
      <c r="E33" s="13">
        <f>SUM(F33:R33)</f>
        <v>0</v>
      </c>
      <c r="F33" s="13"/>
      <c r="G33" s="13"/>
      <c r="H33" s="13"/>
      <c r="I33" s="13"/>
      <c r="J33" s="13"/>
      <c r="K33" s="13"/>
      <c r="L33" s="13"/>
      <c r="M33" s="13"/>
      <c r="N33" s="13"/>
      <c r="O33" s="13"/>
      <c r="P33" s="13"/>
      <c r="Q33" s="13"/>
      <c r="R33" s="18"/>
    </row>
    <row r="34" spans="1:18" ht="31.5" customHeight="1" x14ac:dyDescent="0.25">
      <c r="A34" s="951" t="s">
        <v>29</v>
      </c>
      <c r="B34" s="952"/>
      <c r="C34" s="953">
        <v>34099</v>
      </c>
      <c r="D34" s="953"/>
      <c r="E34" s="32">
        <f>SUM(E35:E37)</f>
        <v>31100</v>
      </c>
      <c r="F34" s="32">
        <f>SUM(F35:F37)</f>
        <v>0</v>
      </c>
      <c r="G34" s="32">
        <f>SUM(G35:G37)</f>
        <v>1100</v>
      </c>
      <c r="H34" s="32">
        <f t="shared" ref="H34:J34" si="20">SUM(H35:H37)</f>
        <v>0</v>
      </c>
      <c r="I34" s="32">
        <f t="shared" ref="I34" si="21">SUM(I35:I37)</f>
        <v>30000</v>
      </c>
      <c r="J34" s="32">
        <f t="shared" si="20"/>
        <v>0</v>
      </c>
      <c r="K34" s="32">
        <f>SUM(K35:K37)</f>
        <v>0</v>
      </c>
      <c r="L34" s="32">
        <f>SUM(L35:L37)</f>
        <v>0</v>
      </c>
      <c r="M34" s="32">
        <f t="shared" ref="M34:R34" si="22">SUM(M35:M37)</f>
        <v>0</v>
      </c>
      <c r="N34" s="32">
        <f t="shared" si="22"/>
        <v>0</v>
      </c>
      <c r="O34" s="32">
        <f t="shared" si="22"/>
        <v>0</v>
      </c>
      <c r="P34" s="32">
        <f t="shared" si="22"/>
        <v>0</v>
      </c>
      <c r="Q34" s="32">
        <f t="shared" si="22"/>
        <v>0</v>
      </c>
      <c r="R34" s="55">
        <f t="shared" si="22"/>
        <v>0</v>
      </c>
    </row>
    <row r="35" spans="1:18" ht="24" customHeight="1" x14ac:dyDescent="0.25">
      <c r="A35" s="42" t="s">
        <v>136</v>
      </c>
      <c r="B35" s="125" t="s">
        <v>49</v>
      </c>
      <c r="C35" s="67">
        <v>34099</v>
      </c>
      <c r="D35" s="125" t="s">
        <v>137</v>
      </c>
      <c r="E35" s="13">
        <f t="shared" ref="E35:E37" si="23">SUM(F35:R35)</f>
        <v>0</v>
      </c>
      <c r="F35" s="13"/>
      <c r="G35" s="13"/>
      <c r="H35" s="13"/>
      <c r="I35" s="13"/>
      <c r="J35" s="13"/>
      <c r="K35" s="13"/>
      <c r="L35" s="13"/>
      <c r="M35" s="13"/>
      <c r="N35" s="13"/>
      <c r="O35" s="13"/>
      <c r="P35" s="13"/>
      <c r="Q35" s="13"/>
      <c r="R35" s="18"/>
    </row>
    <row r="36" spans="1:18" ht="30" customHeight="1" x14ac:dyDescent="0.25">
      <c r="A36" s="42" t="s">
        <v>138</v>
      </c>
      <c r="B36" s="125" t="s">
        <v>49</v>
      </c>
      <c r="C36" s="67">
        <v>34099</v>
      </c>
      <c r="D36" s="125" t="s">
        <v>86</v>
      </c>
      <c r="E36" s="13">
        <f t="shared" si="23"/>
        <v>31100</v>
      </c>
      <c r="F36" s="13"/>
      <c r="G36" s="13">
        <f>1100</f>
        <v>1100</v>
      </c>
      <c r="H36" s="13">
        <f>30000-30000</f>
        <v>0</v>
      </c>
      <c r="I36" s="13">
        <f>30000</f>
        <v>30000</v>
      </c>
      <c r="J36" s="13"/>
      <c r="K36" s="13"/>
      <c r="L36" s="13"/>
      <c r="M36" s="13"/>
      <c r="N36" s="13"/>
      <c r="O36" s="13"/>
      <c r="P36" s="13"/>
      <c r="Q36" s="13"/>
      <c r="R36" s="18"/>
    </row>
    <row r="37" spans="1:18" ht="32.25" customHeight="1" thickBot="1" x14ac:dyDescent="0.3">
      <c r="A37" s="60" t="s">
        <v>88</v>
      </c>
      <c r="B37" s="126" t="s">
        <v>49</v>
      </c>
      <c r="C37" s="62">
        <v>34099</v>
      </c>
      <c r="D37" s="126" t="s">
        <v>87</v>
      </c>
      <c r="E37" s="15">
        <f t="shared" si="23"/>
        <v>0</v>
      </c>
      <c r="F37" s="15"/>
      <c r="G37" s="15"/>
      <c r="H37" s="15"/>
      <c r="I37" s="15"/>
      <c r="J37" s="15"/>
      <c r="K37" s="15"/>
      <c r="L37" s="15"/>
      <c r="M37" s="15"/>
      <c r="N37" s="15"/>
      <c r="O37" s="15"/>
      <c r="P37" s="15"/>
      <c r="Q37" s="15"/>
      <c r="R37" s="19"/>
    </row>
    <row r="38" spans="1:18" ht="33" customHeight="1" thickBot="1" x14ac:dyDescent="0.35">
      <c r="A38" s="148" t="s">
        <v>498</v>
      </c>
      <c r="B38" s="149"/>
      <c r="C38" s="149"/>
      <c r="D38" s="150"/>
      <c r="E38" s="151">
        <f>E20+E24+E26</f>
        <v>3231100</v>
      </c>
      <c r="F38" s="152"/>
      <c r="G38" s="4"/>
      <c r="H38" s="4"/>
      <c r="I38" s="4"/>
      <c r="J38" s="4"/>
      <c r="K38" s="4"/>
      <c r="L38" s="4"/>
      <c r="M38" s="4"/>
      <c r="N38" s="4"/>
      <c r="O38" s="4"/>
      <c r="P38" s="4"/>
      <c r="Q38" s="4"/>
      <c r="R38" s="4"/>
    </row>
    <row r="39" spans="1:18" ht="8.25" customHeight="1" x14ac:dyDescent="0.2">
      <c r="A39" s="5"/>
      <c r="B39" s="7"/>
      <c r="C39" s="3"/>
      <c r="D39" s="3"/>
      <c r="E39" s="4"/>
      <c r="F39" s="4"/>
      <c r="G39" s="4"/>
      <c r="H39" s="4"/>
      <c r="I39" s="4"/>
      <c r="J39" s="4"/>
      <c r="K39" s="4"/>
      <c r="L39" s="4"/>
      <c r="M39" s="4"/>
      <c r="N39" s="4"/>
      <c r="O39" s="4"/>
      <c r="P39" s="4"/>
      <c r="Q39" s="4"/>
      <c r="R39" s="4"/>
    </row>
    <row r="40" spans="1:18" s="12" customFormat="1" ht="15.75" customHeight="1" x14ac:dyDescent="0.25">
      <c r="A40" s="21"/>
      <c r="B40" s="10"/>
      <c r="C40" s="11"/>
      <c r="D40" s="11"/>
      <c r="F40" s="11"/>
      <c r="L40" s="11"/>
    </row>
  </sheetData>
  <mergeCells count="39">
    <mergeCell ref="A27:B27"/>
    <mergeCell ref="C27:D27"/>
    <mergeCell ref="A32:B32"/>
    <mergeCell ref="C32:D32"/>
    <mergeCell ref="A34:B34"/>
    <mergeCell ref="C34:D34"/>
    <mergeCell ref="A20:B20"/>
    <mergeCell ref="C20:D20"/>
    <mergeCell ref="A24:B24"/>
    <mergeCell ref="C24:D24"/>
    <mergeCell ref="A26:B26"/>
    <mergeCell ref="C26:D26"/>
    <mergeCell ref="M9:M11"/>
    <mergeCell ref="N9:N11"/>
    <mergeCell ref="O9:O11"/>
    <mergeCell ref="P9:P11"/>
    <mergeCell ref="Q9:Q11"/>
    <mergeCell ref="A14:D14"/>
    <mergeCell ref="A18:B18"/>
    <mergeCell ref="C18:D18"/>
    <mergeCell ref="J8:J11"/>
    <mergeCell ref="C15:D15"/>
    <mergeCell ref="H8:I11"/>
    <mergeCell ref="C1:D1"/>
    <mergeCell ref="A2:R3"/>
    <mergeCell ref="A5:R6"/>
    <mergeCell ref="A8:A11"/>
    <mergeCell ref="B8:B11"/>
    <mergeCell ref="C8:C11"/>
    <mergeCell ref="D8:D11"/>
    <mergeCell ref="E8:E13"/>
    <mergeCell ref="F8:F11"/>
    <mergeCell ref="G8:G11"/>
    <mergeCell ref="R9:R11"/>
    <mergeCell ref="A12:D12"/>
    <mergeCell ref="A13:D13"/>
    <mergeCell ref="K8:R8"/>
    <mergeCell ref="K9:K11"/>
    <mergeCell ref="L9:L11"/>
  </mergeCells>
  <pageMargins left="0.70866141732283472" right="0.70866141732283472" top="0.74803149606299213" bottom="0.74803149606299213" header="0.31496062992125984" footer="0.31496062992125984"/>
  <pageSetup paperSize="9" scale="45"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Normal="100" workbookViewId="0">
      <selection activeCell="C9" sqref="C9"/>
    </sheetView>
  </sheetViews>
  <sheetFormatPr defaultRowHeight="12.75" x14ac:dyDescent="0.2"/>
  <cols>
    <col min="1" max="1" width="28.85546875" style="89" customWidth="1"/>
    <col min="2" max="3" width="9.140625" style="89"/>
    <col min="4" max="4" width="15.140625" style="89" customWidth="1"/>
    <col min="5" max="5" width="9.140625" style="89"/>
    <col min="6" max="6" width="26.42578125" style="89" customWidth="1"/>
    <col min="7" max="16384" width="9.140625" style="89"/>
  </cols>
  <sheetData>
    <row r="1" spans="1:6" ht="24.75" customHeight="1" x14ac:dyDescent="0.3">
      <c r="A1" s="1056" t="s">
        <v>368</v>
      </c>
      <c r="B1" s="1056"/>
      <c r="C1" s="1056"/>
      <c r="D1" s="1056"/>
      <c r="E1" s="1056"/>
      <c r="F1" s="88" t="s">
        <v>369</v>
      </c>
    </row>
    <row r="2" spans="1:6" s="90" customFormat="1" ht="45" customHeight="1" thickBot="1" x14ac:dyDescent="0.35">
      <c r="A2" s="1057" t="s">
        <v>691</v>
      </c>
      <c r="B2" s="1057"/>
      <c r="C2" s="1057"/>
      <c r="D2" s="1057"/>
      <c r="E2" s="1057"/>
    </row>
    <row r="3" spans="1:6" s="90" customFormat="1" x14ac:dyDescent="0.2">
      <c r="A3" s="1051" t="s">
        <v>370</v>
      </c>
      <c r="B3" s="1052"/>
      <c r="C3" s="1052"/>
      <c r="D3" s="1052"/>
      <c r="E3" s="1052"/>
      <c r="F3" s="1053"/>
    </row>
    <row r="4" spans="1:6" ht="24" customHeight="1" thickBot="1" x14ac:dyDescent="0.25">
      <c r="A4" s="1054"/>
      <c r="B4" s="1042"/>
      <c r="C4" s="1042"/>
      <c r="D4" s="1042"/>
      <c r="E4" s="1042"/>
      <c r="F4" s="1055"/>
    </row>
    <row r="5" spans="1:6" s="91" customFormat="1" ht="36.75" customHeight="1" x14ac:dyDescent="0.2">
      <c r="A5" s="1043" t="s">
        <v>371</v>
      </c>
      <c r="B5" s="1045" t="s">
        <v>372</v>
      </c>
      <c r="C5" s="1047" t="s">
        <v>373</v>
      </c>
      <c r="D5" s="1047" t="s">
        <v>374</v>
      </c>
      <c r="E5" s="1047" t="s">
        <v>375</v>
      </c>
      <c r="F5" s="1049" t="s">
        <v>376</v>
      </c>
    </row>
    <row r="6" spans="1:6" s="91" customFormat="1" ht="42.75" customHeight="1" x14ac:dyDescent="0.2">
      <c r="A6" s="1044"/>
      <c r="B6" s="1046"/>
      <c r="C6" s="1048"/>
      <c r="D6" s="1048"/>
      <c r="E6" s="1048"/>
      <c r="F6" s="1050"/>
    </row>
    <row r="7" spans="1:6" s="95" customFormat="1" ht="11.25" x14ac:dyDescent="0.2">
      <c r="A7" s="92">
        <v>1</v>
      </c>
      <c r="B7" s="93">
        <v>2</v>
      </c>
      <c r="C7" s="93">
        <v>3</v>
      </c>
      <c r="D7" s="93">
        <v>4</v>
      </c>
      <c r="E7" s="93" t="s">
        <v>377</v>
      </c>
      <c r="F7" s="94" t="s">
        <v>378</v>
      </c>
    </row>
    <row r="8" spans="1:6" ht="27.75" customHeight="1" thickBot="1" x14ac:dyDescent="0.3">
      <c r="A8" s="96" t="s">
        <v>570</v>
      </c>
      <c r="B8" s="97">
        <v>30</v>
      </c>
      <c r="C8" s="97">
        <v>160</v>
      </c>
      <c r="D8" s="97">
        <v>180</v>
      </c>
      <c r="E8" s="98">
        <f>B8*D8</f>
        <v>5400</v>
      </c>
      <c r="F8" s="99">
        <f>C8*E8</f>
        <v>864000</v>
      </c>
    </row>
    <row r="9" spans="1:6" ht="13.5" thickBot="1" x14ac:dyDescent="0.25"/>
    <row r="10" spans="1:6" s="90" customFormat="1" ht="31.5" customHeight="1" x14ac:dyDescent="0.2">
      <c r="A10" s="1051" t="s">
        <v>379</v>
      </c>
      <c r="B10" s="1052"/>
      <c r="C10" s="1052"/>
      <c r="D10" s="1052"/>
      <c r="E10" s="1052"/>
      <c r="F10" s="1053"/>
    </row>
    <row r="11" spans="1:6" ht="13.5" thickBot="1" x14ac:dyDescent="0.25">
      <c r="A11" s="1054"/>
      <c r="B11" s="1042"/>
      <c r="C11" s="1042"/>
      <c r="D11" s="1042"/>
      <c r="E11" s="1042"/>
      <c r="F11" s="1055"/>
    </row>
    <row r="12" spans="1:6" s="91" customFormat="1" ht="27" customHeight="1" x14ac:dyDescent="0.2">
      <c r="A12" s="1043" t="s">
        <v>371</v>
      </c>
      <c r="B12" s="1045" t="s">
        <v>372</v>
      </c>
      <c r="C12" s="1047" t="s">
        <v>373</v>
      </c>
      <c r="D12" s="1047" t="s">
        <v>374</v>
      </c>
      <c r="E12" s="1047" t="s">
        <v>375</v>
      </c>
      <c r="F12" s="1049" t="s">
        <v>376</v>
      </c>
    </row>
    <row r="13" spans="1:6" s="91" customFormat="1" ht="36.75" customHeight="1" x14ac:dyDescent="0.2">
      <c r="A13" s="1044"/>
      <c r="B13" s="1046"/>
      <c r="C13" s="1048"/>
      <c r="D13" s="1048"/>
      <c r="E13" s="1048"/>
      <c r="F13" s="1050"/>
    </row>
    <row r="14" spans="1:6" s="95" customFormat="1" ht="11.25" x14ac:dyDescent="0.2">
      <c r="A14" s="92">
        <v>1</v>
      </c>
      <c r="B14" s="93">
        <v>2</v>
      </c>
      <c r="C14" s="93">
        <v>3</v>
      </c>
      <c r="D14" s="93">
        <v>4</v>
      </c>
      <c r="E14" s="93" t="s">
        <v>377</v>
      </c>
      <c r="F14" s="94" t="s">
        <v>378</v>
      </c>
    </row>
    <row r="15" spans="1:6" ht="29.25" customHeight="1" thickBot="1" x14ac:dyDescent="0.3">
      <c r="A15" s="96" t="s">
        <v>570</v>
      </c>
      <c r="B15" s="97">
        <v>0</v>
      </c>
      <c r="C15" s="97">
        <v>125</v>
      </c>
      <c r="D15" s="97">
        <v>200</v>
      </c>
      <c r="E15" s="98">
        <f>B15*D15</f>
        <v>0</v>
      </c>
      <c r="F15" s="99">
        <f>C15*E15</f>
        <v>0</v>
      </c>
    </row>
    <row r="18" spans="1:8" ht="18.75" x14ac:dyDescent="0.2">
      <c r="A18" s="1042" t="s">
        <v>380</v>
      </c>
      <c r="B18" s="1042"/>
      <c r="C18" s="1042"/>
      <c r="D18" s="1042"/>
      <c r="E18" s="1042"/>
      <c r="F18" s="1042"/>
      <c r="G18" s="100"/>
      <c r="H18" s="100"/>
    </row>
    <row r="19" spans="1:8" ht="18.75" x14ac:dyDescent="0.2">
      <c r="A19" s="1042"/>
      <c r="B19" s="1042"/>
      <c r="C19" s="1042"/>
      <c r="D19" s="1042"/>
      <c r="E19" s="1042"/>
      <c r="F19" s="1042"/>
      <c r="G19" s="100"/>
      <c r="H19" s="100"/>
    </row>
    <row r="20" spans="1:8" x14ac:dyDescent="0.2">
      <c r="A20" s="1042"/>
      <c r="B20" s="1042"/>
      <c r="C20" s="1042"/>
      <c r="D20" s="1042"/>
      <c r="E20" s="1042"/>
      <c r="F20" s="1042"/>
    </row>
    <row r="21" spans="1:8" x14ac:dyDescent="0.2">
      <c r="A21" s="1042"/>
      <c r="B21" s="1042"/>
      <c r="C21" s="1042"/>
      <c r="D21" s="1042"/>
      <c r="E21" s="1042"/>
      <c r="F21" s="1042"/>
    </row>
    <row r="22" spans="1:8" ht="13.5" thickBot="1" x14ac:dyDescent="0.25"/>
    <row r="23" spans="1:8" s="91" customFormat="1" ht="15.75" x14ac:dyDescent="0.2">
      <c r="A23" s="1043" t="s">
        <v>371</v>
      </c>
      <c r="B23" s="1045" t="s">
        <v>372</v>
      </c>
      <c r="C23" s="1047" t="s">
        <v>373</v>
      </c>
      <c r="D23" s="1047" t="s">
        <v>374</v>
      </c>
      <c r="E23" s="1047" t="s">
        <v>375</v>
      </c>
      <c r="F23" s="1049" t="s">
        <v>376</v>
      </c>
    </row>
    <row r="24" spans="1:8" s="91" customFormat="1" ht="63" customHeight="1" x14ac:dyDescent="0.2">
      <c r="A24" s="1044"/>
      <c r="B24" s="1046"/>
      <c r="C24" s="1048"/>
      <c r="D24" s="1048"/>
      <c r="E24" s="1048"/>
      <c r="F24" s="1050"/>
    </row>
    <row r="25" spans="1:8" s="95" customFormat="1" ht="11.25" x14ac:dyDescent="0.2">
      <c r="A25" s="92">
        <v>1</v>
      </c>
      <c r="B25" s="93">
        <v>2</v>
      </c>
      <c r="C25" s="93">
        <v>3</v>
      </c>
      <c r="D25" s="93">
        <v>4</v>
      </c>
      <c r="E25" s="93" t="s">
        <v>377</v>
      </c>
      <c r="F25" s="94" t="s">
        <v>378</v>
      </c>
    </row>
    <row r="26" spans="1:8" ht="30.75" customHeight="1" thickBot="1" x14ac:dyDescent="0.3">
      <c r="A26" s="96" t="s">
        <v>570</v>
      </c>
      <c r="B26" s="97">
        <v>0</v>
      </c>
      <c r="C26" s="97">
        <v>100</v>
      </c>
      <c r="D26" s="97">
        <v>130</v>
      </c>
      <c r="E26" s="98">
        <f>B26*D26</f>
        <v>0</v>
      </c>
      <c r="F26" s="99">
        <f>C26*E26</f>
        <v>0</v>
      </c>
    </row>
    <row r="30" spans="1:8" x14ac:dyDescent="0.2">
      <c r="A30" s="89" t="s">
        <v>36</v>
      </c>
      <c r="E30" s="89" t="s">
        <v>30</v>
      </c>
    </row>
  </sheetData>
  <mergeCells count="23">
    <mergeCell ref="A1:E1"/>
    <mergeCell ref="A2:E2"/>
    <mergeCell ref="A3:F4"/>
    <mergeCell ref="A5:A6"/>
    <mergeCell ref="B5:B6"/>
    <mergeCell ref="C5:C6"/>
    <mergeCell ref="D5:D6"/>
    <mergeCell ref="E5:E6"/>
    <mergeCell ref="F5:F6"/>
    <mergeCell ref="A10:F11"/>
    <mergeCell ref="A12:A13"/>
    <mergeCell ref="B12:B13"/>
    <mergeCell ref="C12:C13"/>
    <mergeCell ref="D12:D13"/>
    <mergeCell ref="E12:E13"/>
    <mergeCell ref="F12:F13"/>
    <mergeCell ref="A18:F21"/>
    <mergeCell ref="A23:A24"/>
    <mergeCell ref="B23:B24"/>
    <mergeCell ref="C23:C24"/>
    <mergeCell ref="D23:D24"/>
    <mergeCell ref="E23:E24"/>
    <mergeCell ref="F23:F24"/>
  </mergeCell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10</vt:i4>
      </vt:variant>
    </vt:vector>
  </HeadingPairs>
  <TitlesOfParts>
    <vt:vector size="29" baseType="lpstr">
      <vt:lpstr>Раздел 1</vt:lpstr>
      <vt:lpstr>Раздел 2</vt:lpstr>
      <vt:lpstr>ОСТАТКИ МЗ</vt:lpstr>
      <vt:lpstr>ОСТАТКИ ВБ</vt:lpstr>
      <vt:lpstr>ВБ</vt:lpstr>
      <vt:lpstr>4 (2025)</vt:lpstr>
      <vt:lpstr>5 (2025) ШСК+С</vt:lpstr>
      <vt:lpstr>5 (2025) пит.</vt:lpstr>
      <vt:lpstr>5 (ТБ)</vt:lpstr>
      <vt:lpstr>5 (2025)</vt:lpstr>
      <vt:lpstr>4 (2026)</vt:lpstr>
      <vt:lpstr>5(2026) ШСК+С</vt:lpstr>
      <vt:lpstr>5 (2026) пит.</vt:lpstr>
      <vt:lpstr>5 (2026)</vt:lpstr>
      <vt:lpstr>4 (2027)</vt:lpstr>
      <vt:lpstr>5(2027) ШСК+С</vt:lpstr>
      <vt:lpstr>5 (2027) пит.</vt:lpstr>
      <vt:lpstr>5 (2027)</vt:lpstr>
      <vt:lpstr>РАСЧЕТ ВБ</vt:lpstr>
      <vt:lpstr>'4 (2025)'!Заголовки_для_печати</vt:lpstr>
      <vt:lpstr>'ОСТАТКИ МЗ'!Заголовки_для_печати</vt:lpstr>
      <vt:lpstr>'Раздел 2'!Заголовки_для_печати</vt:lpstr>
      <vt:lpstr>'4 (2026)'!Область_печати</vt:lpstr>
      <vt:lpstr>'4 (2027)'!Область_печати</vt:lpstr>
      <vt:lpstr>'5 (2025) пит.'!Область_печати</vt:lpstr>
      <vt:lpstr>'5 (2026) пит.'!Область_печати</vt:lpstr>
      <vt:lpstr>'5 (2027) пит.'!Область_печати</vt:lpstr>
      <vt:lpstr>'ОСТАТКИ ВБ'!Область_печати</vt:lpstr>
      <vt:lpstr>'Раздел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econom5</cp:lastModifiedBy>
  <cp:lastPrinted>2025-01-09T13:37:09Z</cp:lastPrinted>
  <dcterms:created xsi:type="dcterms:W3CDTF">1996-10-08T23:32:33Z</dcterms:created>
  <dcterms:modified xsi:type="dcterms:W3CDTF">2025-01-13T11:59:24Z</dcterms:modified>
</cp:coreProperties>
</file>